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2760" windowWidth="15480" windowHeight="5790" activeTab="0"/>
  </bookViews>
  <sheets>
    <sheet name="States" sheetId="1" r:id="rId1"/>
    <sheet name="Tribes" sheetId="2" r:id="rId2"/>
  </sheets>
  <definedNames>
    <definedName name="_xlnm.Print_Area" localSheetId="0">'States'!$A$1:$L$73</definedName>
    <definedName name="_xlnm.Print_Area" localSheetId="1">'Tribes'!$A$1:$I$241</definedName>
    <definedName name="_xlnm.Print_Area">'Tribes'!$A$1:$I$241</definedName>
    <definedName name="Print_Area_MI" localSheetId="1">'Tribes'!$A$1:$I$241</definedName>
    <definedName name="PRINT_AREA_MI">'Tribes'!$A$1:$I$241</definedName>
    <definedName name="_xlnm.Print_Titles" localSheetId="0">'States'!$1:$8</definedName>
  </definedNames>
  <calcPr fullCalcOnLoad="1" fullPrecision="0" iterate="1" iterateCount="1" iterateDelta="0.001"/>
</workbook>
</file>

<file path=xl/sharedStrings.xml><?xml version="1.0" encoding="utf-8"?>
<sst xmlns="http://schemas.openxmlformats.org/spreadsheetml/2006/main" count="594" uniqueCount="290">
  <si>
    <t xml:space="preserve">      Regular Block Grant Funds Only</t>
  </si>
  <si>
    <t xml:space="preserve">Gross  </t>
  </si>
  <si>
    <t>State</t>
  </si>
  <si>
    <t>Alabama</t>
  </si>
  <si>
    <t xml:space="preserve">Alaska </t>
  </si>
  <si>
    <t>Arizona</t>
  </si>
  <si>
    <t>Arkansas</t>
  </si>
  <si>
    <t xml:space="preserve">California 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</si>
  <si>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</si>
  <si>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</si>
  <si>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</si>
  <si>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</si>
  <si>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</si>
  <si>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</si>
  <si>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</si>
  <si>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</si>
  <si>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</si>
  <si>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</si>
  <si>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</si>
  <si>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</si>
  <si>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</si>
  <si>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 xml:space="preserve">Louisiana 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</si>
  <si>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</si>
  <si>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</si>
  <si>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</si>
  <si>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</si>
  <si>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</si>
  <si>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</si>
  <si>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</si>
  <si>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</si>
  <si>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</si>
  <si>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</si>
  <si>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</si>
  <si>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</si>
  <si>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 xml:space="preserve">New Mexico 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</si>
  <si>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</si>
  <si>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</si>
  <si>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</si>
  <si>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</si>
  <si>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</si>
  <si>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</si>
  <si>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</si>
  <si>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</si>
  <si>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</si>
  <si>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</si>
  <si>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</si>
  <si>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</si>
  <si>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</si>
  <si>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</si>
  <si>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</si>
  <si>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</si>
  <si>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</si>
  <si>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</si>
  <si>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</si>
  <si>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</si>
  <si>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 </t>
  </si>
  <si>
    <t xml:space="preserve">    American Samoa</t>
  </si>
  <si>
    <t xml:space="preserve">    Guam</t>
  </si>
  <si>
    <t xml:space="preserve">    Northern Marianas</t>
  </si>
  <si>
    <t xml:space="preserve">    Puerto Rico</t>
  </si>
  <si>
    <t xml:space="preserve"> T &amp; TA</t>
  </si>
  <si>
    <t xml:space="preserve">    Virgin Islands</t>
  </si>
  <si>
    <t xml:space="preserve">      Total</t>
  </si>
  <si>
    <t xml:space="preserve"> Territories</t>
  </si>
  <si>
    <t>Total to States</t>
  </si>
  <si>
    <t>Page 1 of 5</t>
  </si>
  <si>
    <t xml:space="preserve">  Regular Block Grant Funds Only</t>
  </si>
  <si>
    <t>SOURCE FOR ALLOTMENT CALCULATIONS</t>
  </si>
  <si>
    <t xml:space="preserve">    A=State/Tribe Agreement On:</t>
  </si>
  <si>
    <t>C=Census Count of Eligible Households</t>
  </si>
  <si>
    <t xml:space="preserve">      #=Household Numbers</t>
  </si>
  <si>
    <t>D=Documented Tribal Eligible</t>
  </si>
  <si>
    <t xml:space="preserve">      %=Percent of State Allotment</t>
  </si>
  <si>
    <t xml:space="preserve">  Household Number </t>
  </si>
  <si>
    <t xml:space="preserve">      $=Dollar Amount</t>
  </si>
  <si>
    <t xml:space="preserve">     TRIBAL</t>
  </si>
  <si>
    <t xml:space="preserve">       STATE</t>
  </si>
  <si>
    <t xml:space="preserve">    STATE</t>
  </si>
  <si>
    <t xml:space="preserve">  TRIBAL </t>
  </si>
  <si>
    <t xml:space="preserve">   STATE GROSS</t>
  </si>
  <si>
    <t xml:space="preserve">  PERCENTAGE OF</t>
  </si>
  <si>
    <t xml:space="preserve">     GRANT</t>
  </si>
  <si>
    <t xml:space="preserve">      TRIBAL</t>
  </si>
  <si>
    <t xml:space="preserve">    STATE NET</t>
  </si>
  <si>
    <t>TRIBES</t>
  </si>
  <si>
    <t xml:space="preserve">    HHLD #</t>
  </si>
  <si>
    <t xml:space="preserve">  HHLD #</t>
  </si>
  <si>
    <t>SOURCE</t>
  </si>
  <si>
    <t xml:space="preserve">   ALLOTMENT</t>
  </si>
  <si>
    <t xml:space="preserve">  STATE SHARE</t>
  </si>
  <si>
    <t xml:space="preserve">     AMOUNT</t>
  </si>
  <si>
    <t xml:space="preserve">     SET-ASIDE</t>
  </si>
  <si>
    <t xml:space="preserve">    ALLOTMENT</t>
  </si>
  <si>
    <t xml:space="preserve">  Ma-Chis Lower Creek Indian Tribe</t>
  </si>
  <si>
    <t>C</t>
  </si>
  <si>
    <t xml:space="preserve">  Mowa Band of Choctaw Indians </t>
  </si>
  <si>
    <t>A/%</t>
  </si>
  <si>
    <t xml:space="preserve">  Poarch Band of Creek Indians </t>
  </si>
  <si>
    <t>A/#</t>
  </si>
  <si>
    <t>Alaska</t>
  </si>
  <si>
    <t xml:space="preserve">  Aleutian/Pribilof Islands Association</t>
  </si>
  <si>
    <t xml:space="preserve">  Assn. of Village Council Presidents</t>
  </si>
  <si>
    <t xml:space="preserve">  Kenaitze Indian Tribe</t>
  </si>
  <si>
    <t xml:space="preserve">  Kuskokwim Native Association</t>
  </si>
  <si>
    <t xml:space="preserve">  Orutsararmuit Native Council</t>
  </si>
  <si>
    <t xml:space="preserve">  Seldovia Village</t>
  </si>
  <si>
    <t xml:space="preserve">  Tanana Chiefs Conference</t>
  </si>
  <si>
    <t xml:space="preserve">  Tlingit &amp; Haida Central Council</t>
  </si>
  <si>
    <t xml:space="preserve">  Cocopah Tribe</t>
  </si>
  <si>
    <t xml:space="preserve">  Colorado River Indian Tribes</t>
  </si>
  <si>
    <t xml:space="preserve">  Gila River Pima-Maricopa Community</t>
  </si>
  <si>
    <t xml:space="preserve">  Navajo Nation</t>
  </si>
  <si>
    <t xml:space="preserve">  Pascua Yaqui Tribe</t>
  </si>
  <si>
    <t xml:space="preserve">  San Carlos Apache Tribe</t>
  </si>
  <si>
    <t>California</t>
  </si>
  <si>
    <t xml:space="preserve">  Berry Creek Rancheria </t>
  </si>
  <si>
    <t xml:space="preserve">  Colorado River Indian Tribes (Ariz.)</t>
  </si>
  <si>
    <t xml:space="preserve">  Coyote Valley Pomo Band</t>
  </si>
  <si>
    <t xml:space="preserve">  Enterprise Rancheria</t>
  </si>
  <si>
    <t xml:space="preserve">  Hoopa Valley Tribe</t>
  </si>
  <si>
    <t xml:space="preserve">  Inter-Tribal Council of California</t>
  </si>
  <si>
    <t xml:space="preserve">  Karuk Tribe</t>
  </si>
  <si>
    <t xml:space="preserve">  Mooretown Rancheria</t>
  </si>
  <si>
    <t xml:space="preserve">  Pinoleville Rancheria</t>
  </si>
  <si>
    <t xml:space="preserve">  Pit River Tribe</t>
  </si>
  <si>
    <t xml:space="preserve">  Quechan Tribe (Ariz.)</t>
  </si>
  <si>
    <t xml:space="preserve">  Redding Rancheria</t>
  </si>
  <si>
    <t xml:space="preserve">  Rincon Band</t>
  </si>
  <si>
    <t xml:space="preserve">  Riverside-San Bernardino Indian Health</t>
  </si>
  <si>
    <t xml:space="preserve">  Sherwood Valley Rancheria</t>
  </si>
  <si>
    <t xml:space="preserve">  S. Cal. Tribal Chairmen's Association</t>
  </si>
  <si>
    <t xml:space="preserve">  Yurok Tribe</t>
  </si>
  <si>
    <t>A/$</t>
  </si>
  <si>
    <t xml:space="preserve">  Poarch Band of Creek Indians (Ala.)</t>
  </si>
  <si>
    <t xml:space="preserve">  Nez Perce Tribe</t>
  </si>
  <si>
    <t xml:space="preserve">  Shoshone-Bannock Tribes (Fort Hall) </t>
  </si>
  <si>
    <t xml:space="preserve">  Pokagon Band (Mich.)</t>
  </si>
  <si>
    <t xml:space="preserve">  United Tribes of Kansas &amp; SE Nebraska</t>
  </si>
  <si>
    <t xml:space="preserve">  Aroostook Band of Micmac Indians</t>
  </si>
  <si>
    <t xml:space="preserve">  Houlton Band of Maliseet Indians</t>
  </si>
  <si>
    <t xml:space="preserve">  Passamaquoddy Tribe--Indian Township</t>
  </si>
  <si>
    <t xml:space="preserve">  Passamaquoddy Tribe--Pleasant Point</t>
  </si>
  <si>
    <t xml:space="preserve">  Penobscot Tribe</t>
  </si>
  <si>
    <t xml:space="preserve">  Mashpee Wampanoag Tribe</t>
  </si>
  <si>
    <t xml:space="preserve">  Grand Traverse Ottawa/Chippewa Band</t>
  </si>
  <si>
    <t xml:space="preserve">  Inter-Tribal Council of Michigan </t>
  </si>
  <si>
    <t xml:space="preserve">  Pokagon Band of Potawatomi Indians</t>
  </si>
  <si>
    <t xml:space="preserve">  Sault Ste. Marie Chippewa Tribe</t>
  </si>
  <si>
    <t xml:space="preserve">  Mississippi Band of Choctaw Indians </t>
  </si>
  <si>
    <t xml:space="preserve">  Assiniboine &amp; Sioux Tribes (Fort Peck)</t>
  </si>
  <si>
    <t xml:space="preserve">  Blackfeet Tribe</t>
  </si>
  <si>
    <t xml:space="preserve">  Confederated Salish &amp; Kootenai Tribes </t>
  </si>
  <si>
    <t xml:space="preserve">  Fort Belknap Community</t>
  </si>
  <si>
    <t xml:space="preserve">  Northern Cheyenne Tribe</t>
  </si>
  <si>
    <t xml:space="preserve">  United Tribes of Ks. &amp; SE Neb. (Kansas)</t>
  </si>
  <si>
    <t xml:space="preserve">  Powhatan Renape Nation</t>
  </si>
  <si>
    <t>New Mexico</t>
  </si>
  <si>
    <t xml:space="preserve">  Five Sandoval Indian Pueblos</t>
  </si>
  <si>
    <t xml:space="preserve">  Jicarilla Apache Tribe</t>
  </si>
  <si>
    <t xml:space="preserve">  Navajo Nation (Ariz.)</t>
  </si>
  <si>
    <t xml:space="preserve">  Pueblo of Zuni</t>
  </si>
  <si>
    <t xml:space="preserve">  Seneca Nation</t>
  </si>
  <si>
    <t xml:space="preserve">  St. Regis Mohawk Band</t>
  </si>
  <si>
    <t xml:space="preserve">  Standing Rock Sioux Tribe</t>
  </si>
  <si>
    <t xml:space="preserve">  Three Affiliated Tribes (Fort Berthold)</t>
  </si>
  <si>
    <t xml:space="preserve">  Turtle Mountain Chippewa Band</t>
  </si>
  <si>
    <t xml:space="preserve">  Absentee Shawnee Tribe</t>
  </si>
  <si>
    <t xml:space="preserve">  Caddo Indian Tribe</t>
  </si>
  <si>
    <t xml:space="preserve">  Cherokee Nation of Oklahoma</t>
  </si>
  <si>
    <t xml:space="preserve">  Cheyenne-Arapaho Tribes</t>
  </si>
  <si>
    <t xml:space="preserve">  Chickasaw Nation of Oklahoma</t>
  </si>
  <si>
    <t xml:space="preserve">  Choctaw Nation of Oklahoma</t>
  </si>
  <si>
    <t xml:space="preserve">  Comanche Indian Tribe</t>
  </si>
  <si>
    <t xml:space="preserve">  Delaware Tribe of Indians</t>
  </si>
  <si>
    <t xml:space="preserve">  Kickapoo Tribe of Oklahoma</t>
  </si>
  <si>
    <t xml:space="preserve">  Kiowa Indian Tribe</t>
  </si>
  <si>
    <t xml:space="preserve">  Miami Tribe</t>
  </si>
  <si>
    <t xml:space="preserve">  Modoc Tribe of Oklahoma</t>
  </si>
  <si>
    <t xml:space="preserve">  Muscogee (Creek) Nation</t>
  </si>
  <si>
    <t xml:space="preserve">  Osage Tribe</t>
  </si>
  <si>
    <t xml:space="preserve">  Otoe-Missouria Tribe</t>
  </si>
  <si>
    <t xml:space="preserve">  Pawnee Tribe</t>
  </si>
  <si>
    <t xml:space="preserve">  Ponca Tribe</t>
  </si>
  <si>
    <t xml:space="preserve">  Sac &amp; Fox Tribe of Oklahoma</t>
  </si>
  <si>
    <t xml:space="preserve">  Seminole Nation of Oklahoma</t>
  </si>
  <si>
    <t xml:space="preserve">  Seneca-Cayuga Tribe</t>
  </si>
  <si>
    <t xml:space="preserve">  Tonkawa Tribe </t>
  </si>
  <si>
    <t xml:space="preserve">  Wichita &amp; Affiliated Tribes</t>
  </si>
  <si>
    <t xml:space="preserve">         </t>
  </si>
  <si>
    <t xml:space="preserve">  Cow Creek Band of Umpqua Indians</t>
  </si>
  <si>
    <t xml:space="preserve">  Klamath Tribe</t>
  </si>
  <si>
    <t xml:space="preserve"> PERCENTAGE OF</t>
  </si>
  <si>
    <t xml:space="preserve">  Narragansett Indian Tribe</t>
  </si>
  <si>
    <t xml:space="preserve">  Cheyenne River Sioux Tribe</t>
  </si>
  <si>
    <t xml:space="preserve">  Lower Brule Sioux Tribe</t>
  </si>
  <si>
    <t xml:space="preserve">  Rosebud Sioux Tribe</t>
  </si>
  <si>
    <t xml:space="preserve">  Sisseton-Wahpeton Sioux Tribe</t>
  </si>
  <si>
    <t xml:space="preserve">  Standing Rock Sioux Tribe (N. Dak.)</t>
  </si>
  <si>
    <t xml:space="preserve">  Yankton Sioux Tribe</t>
  </si>
  <si>
    <t xml:space="preserve">  Paiute Indian Tribe of Utah</t>
  </si>
  <si>
    <t xml:space="preserve">  Ute Tribe (Uintah &amp; Ouray)</t>
  </si>
  <si>
    <t xml:space="preserve">  Colville Confederated Tribes</t>
  </si>
  <si>
    <t xml:space="preserve">  Jamestown S'Klallam Tribe</t>
  </si>
  <si>
    <t xml:space="preserve">  Kalispel Indian Community</t>
  </si>
  <si>
    <t xml:space="preserve">  Lower Elwha Klallam Tribe</t>
  </si>
  <si>
    <t xml:space="preserve">  Lummi Indian Tribe</t>
  </si>
  <si>
    <t xml:space="preserve">  Makah Indian Tribe</t>
  </si>
  <si>
    <t xml:space="preserve">  Muckleshoot Indian Tribe</t>
  </si>
  <si>
    <t xml:space="preserve">  Nooksack Indian Tribe</t>
  </si>
  <si>
    <t xml:space="preserve">  Port Gamble S'Klallam Tribe </t>
  </si>
  <si>
    <t xml:space="preserve">  Puyallup Tribe</t>
  </si>
  <si>
    <t xml:space="preserve">  Quileute Tribe</t>
  </si>
  <si>
    <t xml:space="preserve">  Quinault Tribe</t>
  </si>
  <si>
    <t xml:space="preserve">  Small Tribes Organization of W. Wash.</t>
  </si>
  <si>
    <t xml:space="preserve">  South Puget Intertribal Planning Agency</t>
  </si>
  <si>
    <t xml:space="preserve">  Spokane Tribe</t>
  </si>
  <si>
    <t xml:space="preserve">  Suquamish Indian Tribe</t>
  </si>
  <si>
    <t xml:space="preserve">  Swinomish Indians</t>
  </si>
  <si>
    <t xml:space="preserve">  Tulalip Tribes</t>
  </si>
  <si>
    <t xml:space="preserve">  Yakama Indian Nation</t>
  </si>
  <si>
    <t xml:space="preserve"> TOTALS FOR STATES WITH TRIBES FUNDED DIRECTLY BY HHS</t>
  </si>
  <si>
    <t xml:space="preserve">  Salt River Pima Maricopa Ind. Cmty.</t>
  </si>
  <si>
    <t xml:space="preserve">  Redwood Valley</t>
  </si>
  <si>
    <t xml:space="preserve">  Little River Band of Ottawa Indians</t>
  </si>
  <si>
    <t xml:space="preserve">  N. Cal. Ind. Devel. Council, Inc.(NCIDC)</t>
  </si>
  <si>
    <t xml:space="preserve">  White Mountain Apache Tribe</t>
  </si>
  <si>
    <t xml:space="preserve">  Hopland Band</t>
  </si>
  <si>
    <t xml:space="preserve">  Eastern Shawnee Tribe of Oklahoma</t>
  </si>
  <si>
    <t xml:space="preserve">  Ottawa Tribe of Oklahoma</t>
  </si>
  <si>
    <t xml:space="preserve">  Apache Tribe of Oklahoma</t>
  </si>
  <si>
    <t xml:space="preserve">  Quapaw Tribe</t>
  </si>
  <si>
    <t xml:space="preserve">  Northern Arapaho Nation</t>
  </si>
  <si>
    <t xml:space="preserve">  Alabama-Quassarte Tribal Town</t>
  </si>
  <si>
    <t xml:space="preserve">  United Keetowah</t>
  </si>
  <si>
    <t>Leveraging/REACH</t>
  </si>
  <si>
    <t xml:space="preserve"> Net</t>
  </si>
  <si>
    <t>Allotments</t>
  </si>
  <si>
    <t>Tribal</t>
  </si>
  <si>
    <t>Allotment</t>
  </si>
  <si>
    <t>Percents</t>
  </si>
  <si>
    <t xml:space="preserve"> Difference</t>
  </si>
  <si>
    <t>Difference</t>
  </si>
  <si>
    <t xml:space="preserve">  Quartz Valley</t>
  </si>
  <si>
    <t xml:space="preserve">  United Auburn</t>
  </si>
  <si>
    <t xml:space="preserve">  Samish Tribe</t>
  </si>
  <si>
    <t xml:space="preserve">  Shawnee Tribe</t>
  </si>
  <si>
    <t xml:space="preserve">Appropriation </t>
  </si>
  <si>
    <t>Page 2 of 5</t>
  </si>
  <si>
    <t>Page 3 of 5</t>
  </si>
  <si>
    <t>Page 4 of 5</t>
  </si>
  <si>
    <t>Page 5 of 5</t>
  </si>
  <si>
    <t>LOW INCOME HOME ENERGY ASSISTANCE PROGRAM (LIHEAP) - FY 2004 ALLOTMENTS FOR TRIBES FUNDED DIRECTLY BY HHS</t>
  </si>
  <si>
    <t xml:space="preserve">  United Cherokee Ani-Yun-Wiya Nation </t>
  </si>
  <si>
    <t xml:space="preserve">  Quechan Tribe </t>
  </si>
  <si>
    <t xml:space="preserve">  Round Valley Indian Tribes </t>
  </si>
  <si>
    <t xml:space="preserve">  Southern Indian Health Council</t>
  </si>
  <si>
    <t xml:space="preserve">  Lumbee Tribe</t>
  </si>
  <si>
    <t xml:space="preserve">  Spirit Lake Tribe </t>
  </si>
  <si>
    <t xml:space="preserve">  Citizen Band Potawatomi  </t>
  </si>
  <si>
    <t xml:space="preserve">  Southern Ute Tribe</t>
  </si>
  <si>
    <t xml:space="preserve">  Chippewa-Cree Tribe</t>
  </si>
  <si>
    <t xml:space="preserve">  Oglala Sioux Tribe</t>
  </si>
  <si>
    <t xml:space="preserve">  Smith River Rancheria</t>
  </si>
  <si>
    <t xml:space="preserve">  Coeur d'Alene Tribe</t>
  </si>
  <si>
    <t xml:space="preserve">  Conf. Tribes of Grande Ronde</t>
  </si>
  <si>
    <t xml:space="preserve">LOW INCOME HOME ENERGY ASSISTANCE PROGRAM (LIHEAP) - FY 2004 STATE ALLOTMENTS    </t>
  </si>
  <si>
    <t>1st Quarter</t>
  </si>
  <si>
    <t>Request</t>
  </si>
  <si>
    <t>STATES</t>
  </si>
  <si>
    <t>Territories</t>
  </si>
  <si>
    <t>(shaded)</t>
  </si>
  <si>
    <t>14 states at 70%</t>
  </si>
  <si>
    <t>All others 30%</t>
  </si>
  <si>
    <t>100% Full</t>
  </si>
  <si>
    <t>Cap</t>
  </si>
  <si>
    <t>All States</t>
  </si>
  <si>
    <t>State Allocations</t>
  </si>
  <si>
    <t>DEA/OCS/ACF</t>
  </si>
  <si>
    <t xml:space="preserve">  Hoh Tribe</t>
  </si>
  <si>
    <t>12-Dec-2003</t>
  </si>
  <si>
    <t>Under the CR</t>
  </si>
  <si>
    <t xml:space="preserve">  Conf. Tribes of Warm Springs</t>
  </si>
  <si>
    <t xml:space="preserve">  Fort Mojave (ITCC-CA)</t>
  </si>
  <si>
    <t>Set-Aside</t>
  </si>
  <si>
    <t>Attachment 1</t>
  </si>
  <si>
    <t>15-Dec-2003</t>
  </si>
  <si>
    <t>Remainder of 1st quarter allocations under the CR</t>
  </si>
  <si>
    <t>$1.688B Level</t>
  </si>
  <si>
    <t>First Release</t>
  </si>
  <si>
    <t>Current Release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</si>
</sst>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_)"/>
    <numFmt numFmtId="165" formatCode="dd\-mmm\-yy_)"/>
    <numFmt numFmtId="166" formatCode="0.000000%"/>
    <numFmt numFmtId="167" formatCode="General_)"/>
    <numFmt numFmtId="168" formatCode="0.0000%"/>
    <numFmt numFmtId="169" formatCode="0.00000000%"/>
    <numFmt numFmtId="170" formatCode="_(* #,##0.0_);_(* \(#,##0.0\);_(* &quot;-&quot;??_);_(@_)"/>
    <numFmt numFmtId="171" formatCode="_(* #,##0_);_(* \(#,##0\);_(* &quot;-&quot;??_);_(@_)"/>
    <numFmt numFmtId="172" formatCode="0.0%"/>
    <numFmt numFmtId="173" formatCode="0.000%"/>
    <numFmt numFmtId="174" formatCode="0.00000%"/>
    <numFmt numFmtId="175" formatCode="0.0000000%"/>
    <numFmt numFmtId="176" formatCode="0.000000000%"/>
    <numFmt numFmtId="177" formatCode="&quot;$&quot;#,##0"/>
    <numFmt numFmtId="178" formatCode="&quot;$&quot;#,##0.00000000_);\(&quot;$&quot;#,##0.00000000\)"/>
    <numFmt numFmtId="179" formatCode="&quot;$&quot;#,##0.00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3"/>
      <color indexed="12"/>
      <name val="Courier"/>
      <family val="0"/>
    </font>
    <font>
      <u val="single"/>
      <sz val="13"/>
      <color indexed="36"/>
      <name val="Courier"/>
      <family val="0"/>
    </font>
    <font>
      <sz val="10"/>
      <color indexed="63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6">
    <xf numFmtId="37" fontId="0" fillId="0" borderId="0" xfId="0" applyAlignment="1">
      <alignment/>
    </xf>
    <xf numFmtId="37" fontId="4" fillId="0" borderId="0" xfId="0" applyFont="1" applyAlignment="1" quotePrefix="1">
      <alignment horizontal="center"/>
    </xf>
    <xf numFmtId="37" fontId="4" fillId="0" borderId="0" xfId="0" applyFont="1" applyAlignment="1">
      <alignment horizontal="center"/>
    </xf>
    <xf numFmtId="37" fontId="4" fillId="0" borderId="0" xfId="0" applyNumberFormat="1" applyFont="1" applyAlignment="1" applyProtection="1">
      <alignment horizontal="left"/>
      <protection/>
    </xf>
    <xf numFmtId="37" fontId="4" fillId="0" borderId="0" xfId="0" applyFont="1" applyAlignment="1">
      <alignment/>
    </xf>
    <xf numFmtId="164" fontId="4" fillId="0" borderId="0" xfId="0" applyNumberFormat="1" applyFont="1" applyAlignment="1" applyProtection="1">
      <alignment/>
      <protection/>
    </xf>
    <xf numFmtId="37" fontId="4" fillId="0" borderId="0" xfId="0" applyFont="1" applyAlignment="1" quotePrefix="1">
      <alignment horizontal="right"/>
    </xf>
    <xf numFmtId="164" fontId="4" fillId="0" borderId="0" xfId="0" applyNumberFormat="1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center"/>
      <protection/>
    </xf>
    <xf numFmtId="5" fontId="4" fillId="0" borderId="0" xfId="0" applyNumberFormat="1" applyFont="1" applyAlignment="1" applyProtection="1">
      <alignment/>
      <protection/>
    </xf>
    <xf numFmtId="9" fontId="4" fillId="0" borderId="0" xfId="21" applyNumberFormat="1" applyFont="1" applyAlignment="1">
      <alignment/>
    </xf>
    <xf numFmtId="177" fontId="4" fillId="0" borderId="0" xfId="21" applyNumberFormat="1" applyFont="1" applyAlignment="1">
      <alignment/>
    </xf>
    <xf numFmtId="5" fontId="4" fillId="0" borderId="0" xfId="0" applyNumberFormat="1" applyFont="1" applyAlignment="1">
      <alignment/>
    </xf>
    <xf numFmtId="5" fontId="7" fillId="2" borderId="0" xfId="0" applyNumberFormat="1" applyFont="1" applyFill="1" applyAlignment="1">
      <alignment/>
    </xf>
    <xf numFmtId="5" fontId="4" fillId="0" borderId="1" xfId="0" applyNumberFormat="1" applyFont="1" applyBorder="1" applyAlignment="1" applyProtection="1">
      <alignment/>
      <protection/>
    </xf>
    <xf numFmtId="9" fontId="4" fillId="0" borderId="0" xfId="0" applyNumberFormat="1" applyFont="1" applyAlignment="1" applyProtection="1">
      <alignment horizontal="center"/>
      <protection/>
    </xf>
    <xf numFmtId="177" fontId="4" fillId="0" borderId="0" xfId="0" applyNumberFormat="1" applyFont="1" applyAlignment="1">
      <alignment/>
    </xf>
    <xf numFmtId="37" fontId="1" fillId="0" borderId="0" xfId="0" applyFont="1" applyAlignment="1">
      <alignment/>
    </xf>
    <xf numFmtId="166" fontId="4" fillId="0" borderId="0" xfId="0" applyNumberFormat="1" applyFont="1" applyAlignment="1">
      <alignment/>
    </xf>
    <xf numFmtId="37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8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 horizontal="right"/>
      <protection/>
    </xf>
    <xf numFmtId="5" fontId="1" fillId="0" borderId="0" xfId="0" applyNumberFormat="1" applyFont="1" applyAlignment="1" applyProtection="1">
      <alignment horizontal="right"/>
      <protection/>
    </xf>
    <xf numFmtId="168" fontId="4" fillId="0" borderId="0" xfId="0" applyNumberFormat="1" applyFont="1" applyAlignment="1" applyProtection="1">
      <alignment horizontal="right"/>
      <protection/>
    </xf>
    <xf numFmtId="5" fontId="4" fillId="0" borderId="0" xfId="0" applyNumberFormat="1" applyFont="1" applyAlignment="1" applyProtection="1">
      <alignment horizontal="left"/>
      <protection/>
    </xf>
    <xf numFmtId="166" fontId="4" fillId="0" borderId="0" xfId="0" applyNumberFormat="1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right"/>
      <protection/>
    </xf>
    <xf numFmtId="5" fontId="4" fillId="0" borderId="0" xfId="0" applyNumberFormat="1" applyFont="1" applyAlignment="1" applyProtection="1">
      <alignment horizontal="right"/>
      <protection/>
    </xf>
    <xf numFmtId="37" fontId="3" fillId="0" borderId="0" xfId="0" applyFont="1" applyAlignment="1">
      <alignment/>
    </xf>
    <xf numFmtId="177" fontId="4" fillId="0" borderId="0" xfId="0" applyNumberFormat="1" applyFont="1" applyAlignment="1">
      <alignment horizontal="center"/>
    </xf>
    <xf numFmtId="37" fontId="1" fillId="0" borderId="0" xfId="0" applyFont="1" applyAlignment="1">
      <alignment horizontal="center"/>
    </xf>
    <xf numFmtId="177" fontId="1" fillId="0" borderId="0" xfId="0" applyNumberFormat="1" applyFont="1" applyAlignment="1">
      <alignment horizontal="center"/>
    </xf>
    <xf numFmtId="37" fontId="2" fillId="0" borderId="0" xfId="0" applyFont="1" applyAlignment="1">
      <alignment horizontal="center"/>
    </xf>
    <xf numFmtId="37" fontId="1" fillId="0" borderId="0" xfId="0" applyNumberFormat="1" applyFont="1" applyAlignment="1" applyProtection="1">
      <alignment horizontal="left"/>
      <protection/>
    </xf>
    <xf numFmtId="37" fontId="8" fillId="0" borderId="0" xfId="0" applyFont="1" applyAlignment="1">
      <alignment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 quotePrefix="1">
      <alignment horizontal="center"/>
    </xf>
    <xf numFmtId="177" fontId="4" fillId="0" borderId="0" xfId="0" applyNumberFormat="1" applyFont="1" applyFill="1" applyAlignment="1">
      <alignment horizontal="center"/>
    </xf>
    <xf numFmtId="177" fontId="4" fillId="0" borderId="0" xfId="21" applyNumberFormat="1" applyFont="1" applyFill="1" applyAlignment="1">
      <alignment/>
    </xf>
    <xf numFmtId="37" fontId="9" fillId="0" borderId="0" xfId="0" applyFont="1" applyAlignment="1">
      <alignment/>
    </xf>
    <xf numFmtId="37" fontId="10" fillId="0" borderId="0" xfId="0" applyNumberFormat="1" applyFont="1" applyAlignment="1" applyProtection="1">
      <alignment horizontal="left"/>
      <protection/>
    </xf>
    <xf numFmtId="177" fontId="2" fillId="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zoomScale="130" zoomScaleNormal="13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" sqref="A8"/>
    </sheetView>
  </sheetViews>
  <sheetFormatPr defaultColWidth="9.00390625" defaultRowHeight="12.75"/>
  <cols>
    <col min="1" max="2" width="15.125" style="4" customWidth="1"/>
    <col min="3" max="3" width="17.50390625" style="4" customWidth="1"/>
    <col min="4" max="4" width="11.50390625" style="4" customWidth="1"/>
    <col min="5" max="5" width="16.00390625" style="4" customWidth="1"/>
    <col min="6" max="6" width="9.125" style="4" customWidth="1"/>
    <col min="7" max="7" width="14.625" style="39" customWidth="1"/>
    <col min="8" max="8" width="16.25390625" style="16" bestFit="1" customWidth="1"/>
    <col min="9" max="9" width="16.25390625" style="16" customWidth="1"/>
    <col min="10" max="10" width="16.25390625" style="4" hidden="1" customWidth="1"/>
    <col min="11" max="12" width="12.50390625" style="4" hidden="1" customWidth="1"/>
    <col min="13" max="13" width="12.25390625" style="4" customWidth="1"/>
    <col min="14" max="16384" width="8.875" style="4" customWidth="1"/>
  </cols>
  <sheetData>
    <row r="1" spans="1:10" ht="12.75">
      <c r="A1" s="37" t="s">
        <v>265</v>
      </c>
      <c r="D1" s="5"/>
      <c r="J1" s="34" t="s">
        <v>284</v>
      </c>
    </row>
    <row r="2" spans="1:10" ht="12.75">
      <c r="A2" s="32"/>
      <c r="C2" s="3" t="s">
        <v>0</v>
      </c>
      <c r="F2" s="1" t="s">
        <v>285</v>
      </c>
      <c r="G2" s="40"/>
      <c r="I2" s="35"/>
      <c r="J2" s="6"/>
    </row>
    <row r="3" spans="1:7" ht="12.75">
      <c r="A3" s="43" t="s">
        <v>286</v>
      </c>
      <c r="F3" s="2" t="s">
        <v>277</v>
      </c>
      <c r="G3" s="41"/>
    </row>
    <row r="4" spans="1:12" ht="12.75">
      <c r="A4" s="38" t="s">
        <v>287</v>
      </c>
      <c r="G4" s="41" t="s">
        <v>266</v>
      </c>
      <c r="H4" s="33" t="s">
        <v>266</v>
      </c>
      <c r="I4" s="33" t="s">
        <v>266</v>
      </c>
      <c r="K4" s="1" t="s">
        <v>273</v>
      </c>
      <c r="L4" s="1" t="s">
        <v>271</v>
      </c>
    </row>
    <row r="5" spans="2:12" ht="12.75">
      <c r="B5" s="7" t="s">
        <v>238</v>
      </c>
      <c r="C5" s="8" t="s">
        <v>1</v>
      </c>
      <c r="D5" s="8" t="s">
        <v>237</v>
      </c>
      <c r="E5" s="8" t="s">
        <v>235</v>
      </c>
      <c r="F5" s="2" t="s">
        <v>266</v>
      </c>
      <c r="G5" s="41" t="s">
        <v>276</v>
      </c>
      <c r="H5" s="41" t="s">
        <v>276</v>
      </c>
      <c r="I5" s="2" t="s">
        <v>276</v>
      </c>
      <c r="K5" s="2" t="s">
        <v>266</v>
      </c>
      <c r="L5" s="2" t="s">
        <v>270</v>
      </c>
    </row>
    <row r="6" spans="1:12" ht="12.75">
      <c r="A6" s="8" t="s">
        <v>2</v>
      </c>
      <c r="B6" s="8" t="s">
        <v>239</v>
      </c>
      <c r="C6" s="8" t="s">
        <v>236</v>
      </c>
      <c r="D6" s="8" t="s">
        <v>283</v>
      </c>
      <c r="E6" s="8" t="s">
        <v>236</v>
      </c>
      <c r="F6" s="2" t="s">
        <v>267</v>
      </c>
      <c r="G6" s="41" t="s">
        <v>280</v>
      </c>
      <c r="H6" s="33" t="s">
        <v>280</v>
      </c>
      <c r="I6" s="2" t="s">
        <v>280</v>
      </c>
      <c r="K6" s="2" t="s">
        <v>267</v>
      </c>
      <c r="L6" s="1" t="s">
        <v>272</v>
      </c>
    </row>
    <row r="7" spans="3:12" ht="12.75">
      <c r="C7" s="2"/>
      <c r="D7" s="2"/>
      <c r="E7" s="2"/>
      <c r="G7" s="45" t="s">
        <v>288</v>
      </c>
      <c r="H7" s="36" t="s">
        <v>289</v>
      </c>
      <c r="I7" s="36" t="s">
        <v>54</v>
      </c>
      <c r="K7" s="2" t="s">
        <v>275</v>
      </c>
      <c r="L7" s="2" t="s">
        <v>274</v>
      </c>
    </row>
    <row r="8" ht="12.75">
      <c r="C8" s="3"/>
    </row>
    <row r="9" spans="1:12" ht="12.75">
      <c r="A9" s="3" t="s">
        <v>3</v>
      </c>
      <c r="B9" s="5">
        <v>0.00860045</v>
      </c>
      <c r="C9" s="9">
        <f aca="true" t="shared" si="0" ref="C9:C40">ROUND(+B9*$B$70,0)</f>
        <v>14267289</v>
      </c>
      <c r="D9" s="9">
        <f>Tribes!$H12</f>
        <v>87369</v>
      </c>
      <c r="E9" s="9">
        <f aca="true" t="shared" si="1" ref="E9:E24">C9-D9</f>
        <v>14179920</v>
      </c>
      <c r="F9" s="10">
        <v>0.45</v>
      </c>
      <c r="G9" s="42">
        <v>5692937</v>
      </c>
      <c r="H9" s="12">
        <f aca="true" t="shared" si="2" ref="H9:H40">IF(G9&gt;J9,0,J9-G9)</f>
        <v>688027</v>
      </c>
      <c r="I9" s="12">
        <f>G9+H9</f>
        <v>6380964</v>
      </c>
      <c r="J9" s="11">
        <f>F9*E9</f>
        <v>6380964</v>
      </c>
      <c r="K9" s="12">
        <f aca="true" t="shared" si="3" ref="K9:K14">(E9*F9)</f>
        <v>6380964</v>
      </c>
      <c r="L9" s="11">
        <f aca="true" t="shared" si="4" ref="L9:L14">IF(F9&gt;30%,E9*30%,F9*E9)</f>
        <v>4253976</v>
      </c>
    </row>
    <row r="10" spans="1:12" ht="12.75">
      <c r="A10" s="3" t="s">
        <v>4</v>
      </c>
      <c r="B10" s="5">
        <v>0.00548986</v>
      </c>
      <c r="C10" s="9">
        <f t="shared" si="0"/>
        <v>9107131</v>
      </c>
      <c r="D10" s="9">
        <f>Tribes!$H18</f>
        <v>1294000</v>
      </c>
      <c r="E10" s="9">
        <f t="shared" si="1"/>
        <v>7813131</v>
      </c>
      <c r="F10" s="10">
        <v>0.4</v>
      </c>
      <c r="G10" s="42">
        <v>3290884</v>
      </c>
      <c r="H10" s="12">
        <f t="shared" si="2"/>
        <v>0</v>
      </c>
      <c r="I10" s="12">
        <f aca="true" t="shared" si="5" ref="I10:I59">G10+H10</f>
        <v>3290884</v>
      </c>
      <c r="J10" s="11">
        <f aca="true" t="shared" si="6" ref="J10:J59">F10*E10</f>
        <v>3125252</v>
      </c>
      <c r="K10" s="12">
        <f t="shared" si="3"/>
        <v>3125252</v>
      </c>
      <c r="L10" s="11">
        <f t="shared" si="4"/>
        <v>2343939</v>
      </c>
    </row>
    <row r="11" spans="1:12" ht="12.75">
      <c r="A11" s="3" t="s">
        <v>5</v>
      </c>
      <c r="B11" s="5">
        <v>0.00415928</v>
      </c>
      <c r="C11" s="9">
        <f t="shared" si="0"/>
        <v>6899831</v>
      </c>
      <c r="D11" s="9">
        <f>Tribes!$H28</f>
        <v>563459</v>
      </c>
      <c r="E11" s="9">
        <f t="shared" si="1"/>
        <v>6336372</v>
      </c>
      <c r="F11" s="10">
        <v>0.25</v>
      </c>
      <c r="G11" s="42">
        <v>1668897</v>
      </c>
      <c r="H11" s="12">
        <f t="shared" si="2"/>
        <v>0</v>
      </c>
      <c r="I11" s="12">
        <f t="shared" si="5"/>
        <v>1668897</v>
      </c>
      <c r="J11" s="11">
        <f t="shared" si="6"/>
        <v>1584093</v>
      </c>
      <c r="K11" s="12">
        <f t="shared" si="3"/>
        <v>1584093</v>
      </c>
      <c r="L11" s="11">
        <f t="shared" si="4"/>
        <v>1584093</v>
      </c>
    </row>
    <row r="12" spans="1:12" ht="12.75">
      <c r="A12" s="3" t="s">
        <v>6</v>
      </c>
      <c r="B12" s="5">
        <v>0.00656255</v>
      </c>
      <c r="C12" s="9">
        <f t="shared" si="0"/>
        <v>10886616</v>
      </c>
      <c r="D12" s="9"/>
      <c r="E12" s="9">
        <f t="shared" si="1"/>
        <v>10886616</v>
      </c>
      <c r="F12" s="10">
        <v>0.6</v>
      </c>
      <c r="G12" s="42">
        <v>4354646</v>
      </c>
      <c r="H12" s="12">
        <f t="shared" si="2"/>
        <v>2177324</v>
      </c>
      <c r="I12" s="12">
        <f t="shared" si="5"/>
        <v>6531970</v>
      </c>
      <c r="J12" s="11">
        <f t="shared" si="6"/>
        <v>6531970</v>
      </c>
      <c r="K12" s="12">
        <f t="shared" si="3"/>
        <v>6531970</v>
      </c>
      <c r="L12" s="11">
        <f t="shared" si="4"/>
        <v>3265985</v>
      </c>
    </row>
    <row r="13" spans="1:12" ht="12.75">
      <c r="A13" s="3" t="s">
        <v>7</v>
      </c>
      <c r="B13" s="5">
        <v>0.04613891</v>
      </c>
      <c r="C13" s="9">
        <f t="shared" si="0"/>
        <v>76539853</v>
      </c>
      <c r="D13" s="9">
        <f>Tribes!H47</f>
        <v>543013</v>
      </c>
      <c r="E13" s="9">
        <f t="shared" si="1"/>
        <v>75996840</v>
      </c>
      <c r="F13" s="10">
        <v>0.25</v>
      </c>
      <c r="G13" s="42">
        <v>19080662</v>
      </c>
      <c r="H13" s="12">
        <f t="shared" si="2"/>
        <v>0</v>
      </c>
      <c r="I13" s="12">
        <f t="shared" si="5"/>
        <v>19080662</v>
      </c>
      <c r="J13" s="11">
        <f t="shared" si="6"/>
        <v>18999210</v>
      </c>
      <c r="K13" s="12">
        <f t="shared" si="3"/>
        <v>18999210</v>
      </c>
      <c r="L13" s="11">
        <f t="shared" si="4"/>
        <v>18999210</v>
      </c>
    </row>
    <row r="14" spans="1:12" ht="12.75">
      <c r="A14" s="3" t="s">
        <v>8</v>
      </c>
      <c r="B14" s="5">
        <v>0.0160872</v>
      </c>
      <c r="C14" s="9">
        <f t="shared" si="0"/>
        <v>26687062</v>
      </c>
      <c r="D14" s="9">
        <f>Tribes!$H74</f>
        <v>25000</v>
      </c>
      <c r="E14" s="9">
        <f t="shared" si="1"/>
        <v>26662062</v>
      </c>
      <c r="F14" s="10">
        <v>0.5</v>
      </c>
      <c r="G14" s="42">
        <v>13335031</v>
      </c>
      <c r="H14" s="12">
        <f t="shared" si="2"/>
        <v>0</v>
      </c>
      <c r="I14" s="12">
        <f t="shared" si="5"/>
        <v>13335031</v>
      </c>
      <c r="J14" s="11">
        <f t="shared" si="6"/>
        <v>13331031</v>
      </c>
      <c r="K14" s="12">
        <f t="shared" si="3"/>
        <v>13331031</v>
      </c>
      <c r="L14" s="11">
        <f t="shared" si="4"/>
        <v>7998619</v>
      </c>
    </row>
    <row r="15" spans="1:12" ht="12.75">
      <c r="A15" s="3" t="s">
        <v>9</v>
      </c>
      <c r="B15" s="5">
        <v>0.02098632</v>
      </c>
      <c r="C15" s="9">
        <f t="shared" si="0"/>
        <v>34814213</v>
      </c>
      <c r="D15" s="9"/>
      <c r="E15" s="9">
        <f t="shared" si="1"/>
        <v>34814213</v>
      </c>
      <c r="F15" s="10">
        <v>0.45</v>
      </c>
      <c r="G15" s="42">
        <v>15666396</v>
      </c>
      <c r="H15" s="12">
        <f t="shared" si="2"/>
        <v>0</v>
      </c>
      <c r="I15" s="12">
        <f t="shared" si="5"/>
        <v>15666396</v>
      </c>
      <c r="J15" s="11">
        <f t="shared" si="6"/>
        <v>15666396</v>
      </c>
      <c r="K15" s="12">
        <f aca="true" t="shared" si="7" ref="K15:K59">(E15*F15)</f>
        <v>15666396</v>
      </c>
      <c r="L15" s="13">
        <f>E15*70%</f>
        <v>24369949</v>
      </c>
    </row>
    <row r="16" spans="1:12" ht="12.75">
      <c r="A16" s="3" t="s">
        <v>10</v>
      </c>
      <c r="B16" s="5">
        <v>0.00278553</v>
      </c>
      <c r="C16" s="9">
        <f t="shared" si="0"/>
        <v>4620917</v>
      </c>
      <c r="D16" s="9"/>
      <c r="E16" s="9">
        <f t="shared" si="1"/>
        <v>4620917</v>
      </c>
      <c r="F16" s="10">
        <v>0.7</v>
      </c>
      <c r="G16" s="42">
        <v>1848367</v>
      </c>
      <c r="H16" s="12">
        <f t="shared" si="2"/>
        <v>1386275</v>
      </c>
      <c r="I16" s="12">
        <f t="shared" si="5"/>
        <v>3234642</v>
      </c>
      <c r="J16" s="11">
        <f t="shared" si="6"/>
        <v>3234642</v>
      </c>
      <c r="K16" s="12">
        <f t="shared" si="7"/>
        <v>3234642</v>
      </c>
      <c r="L16" s="11">
        <f aca="true" t="shared" si="8" ref="L16:L27">IF(F16&gt;30%,E16*30%,F16*E16)</f>
        <v>1386275</v>
      </c>
    </row>
    <row r="17" spans="1:12" ht="12.75">
      <c r="A17" s="3" t="s">
        <v>11</v>
      </c>
      <c r="B17" s="5">
        <v>0.00325921</v>
      </c>
      <c r="C17" s="9">
        <f t="shared" si="0"/>
        <v>5406705</v>
      </c>
      <c r="D17" s="9"/>
      <c r="E17" s="9">
        <f t="shared" si="1"/>
        <v>5406705</v>
      </c>
      <c r="F17" s="10">
        <v>1</v>
      </c>
      <c r="G17" s="42">
        <v>2162682</v>
      </c>
      <c r="H17" s="12">
        <f t="shared" si="2"/>
        <v>3244023</v>
      </c>
      <c r="I17" s="12">
        <f t="shared" si="5"/>
        <v>5406705</v>
      </c>
      <c r="J17" s="11">
        <f t="shared" si="6"/>
        <v>5406705</v>
      </c>
      <c r="K17" s="12">
        <f t="shared" si="7"/>
        <v>5406705</v>
      </c>
      <c r="L17" s="11">
        <f t="shared" si="8"/>
        <v>1622012</v>
      </c>
    </row>
    <row r="18" spans="1:12" ht="12.75">
      <c r="A18" s="3" t="s">
        <v>12</v>
      </c>
      <c r="B18" s="5">
        <v>0.01360848</v>
      </c>
      <c r="C18" s="9">
        <f t="shared" si="0"/>
        <v>22575112</v>
      </c>
      <c r="D18" s="9">
        <f>Tribes!H77</f>
        <v>5787</v>
      </c>
      <c r="E18" s="9">
        <f t="shared" si="1"/>
        <v>22569325</v>
      </c>
      <c r="F18" s="10">
        <v>0.9</v>
      </c>
      <c r="G18" s="42">
        <v>9029119</v>
      </c>
      <c r="H18" s="12">
        <f t="shared" si="2"/>
        <v>11283274</v>
      </c>
      <c r="I18" s="12">
        <f t="shared" si="5"/>
        <v>20312393</v>
      </c>
      <c r="J18" s="11">
        <f t="shared" si="6"/>
        <v>20312393</v>
      </c>
      <c r="K18" s="12">
        <f t="shared" si="7"/>
        <v>20312393</v>
      </c>
      <c r="L18" s="11">
        <f t="shared" si="8"/>
        <v>6770798</v>
      </c>
    </row>
    <row r="19" spans="1:12" ht="12.75">
      <c r="A19" s="3" t="s">
        <v>13</v>
      </c>
      <c r="B19" s="5">
        <v>0.01075959</v>
      </c>
      <c r="C19" s="9">
        <f t="shared" si="0"/>
        <v>17849087</v>
      </c>
      <c r="D19" s="9"/>
      <c r="E19" s="9">
        <f t="shared" si="1"/>
        <v>17849087</v>
      </c>
      <c r="F19" s="10">
        <v>0.9</v>
      </c>
      <c r="G19" s="42">
        <v>7139635</v>
      </c>
      <c r="H19" s="12">
        <f t="shared" si="2"/>
        <v>8924543</v>
      </c>
      <c r="I19" s="12">
        <f t="shared" si="5"/>
        <v>16064178</v>
      </c>
      <c r="J19" s="11">
        <f t="shared" si="6"/>
        <v>16064178</v>
      </c>
      <c r="K19" s="12">
        <f t="shared" si="7"/>
        <v>16064178</v>
      </c>
      <c r="L19" s="11">
        <f t="shared" si="8"/>
        <v>5354726</v>
      </c>
    </row>
    <row r="20" spans="1:12" ht="12.75">
      <c r="A20" s="3" t="s">
        <v>14</v>
      </c>
      <c r="B20" s="5">
        <v>0.00108355</v>
      </c>
      <c r="C20" s="9">
        <f>ROUND(+B20*$B$70,0)+2</f>
        <v>1797503</v>
      </c>
      <c r="D20" s="9"/>
      <c r="E20" s="9">
        <f t="shared" si="1"/>
        <v>1797503</v>
      </c>
      <c r="F20" s="10">
        <v>0.25</v>
      </c>
      <c r="G20" s="42">
        <v>449376</v>
      </c>
      <c r="H20" s="12">
        <f t="shared" si="2"/>
        <v>0</v>
      </c>
      <c r="I20" s="12">
        <f t="shared" si="5"/>
        <v>449376</v>
      </c>
      <c r="J20" s="11">
        <f t="shared" si="6"/>
        <v>449376</v>
      </c>
      <c r="K20" s="12">
        <f t="shared" si="7"/>
        <v>449376</v>
      </c>
      <c r="L20" s="11">
        <f t="shared" si="8"/>
        <v>449376</v>
      </c>
    </row>
    <row r="21" spans="1:12" ht="12.75">
      <c r="A21" s="3" t="s">
        <v>15</v>
      </c>
      <c r="B21" s="5">
        <v>0.00627508</v>
      </c>
      <c r="C21" s="9">
        <f t="shared" si="0"/>
        <v>10409732</v>
      </c>
      <c r="D21" s="9">
        <f>Tribes!H80</f>
        <v>184715</v>
      </c>
      <c r="E21" s="9">
        <f t="shared" si="1"/>
        <v>10225017</v>
      </c>
      <c r="F21" s="10">
        <v>0.4</v>
      </c>
      <c r="G21" s="42">
        <v>4113650</v>
      </c>
      <c r="H21" s="12">
        <f t="shared" si="2"/>
        <v>0</v>
      </c>
      <c r="I21" s="12">
        <f t="shared" si="5"/>
        <v>4113650</v>
      </c>
      <c r="J21" s="11">
        <f t="shared" si="6"/>
        <v>4090007</v>
      </c>
      <c r="K21" s="12">
        <f t="shared" si="7"/>
        <v>4090007</v>
      </c>
      <c r="L21" s="11">
        <f t="shared" si="8"/>
        <v>3067505</v>
      </c>
    </row>
    <row r="22" spans="1:12" ht="12.75">
      <c r="A22" s="3" t="s">
        <v>16</v>
      </c>
      <c r="B22" s="5">
        <v>0.05808651</v>
      </c>
      <c r="C22" s="9">
        <f t="shared" si="0"/>
        <v>96359731</v>
      </c>
      <c r="D22" s="9"/>
      <c r="E22" s="9">
        <f t="shared" si="1"/>
        <v>96359731</v>
      </c>
      <c r="F22" s="10">
        <v>0.9</v>
      </c>
      <c r="G22" s="42">
        <v>65524617</v>
      </c>
      <c r="H22" s="12">
        <f t="shared" si="2"/>
        <v>21199141</v>
      </c>
      <c r="I22" s="12">
        <f t="shared" si="5"/>
        <v>86723758</v>
      </c>
      <c r="J22" s="11">
        <f t="shared" si="6"/>
        <v>86723758</v>
      </c>
      <c r="K22" s="12">
        <f t="shared" si="7"/>
        <v>86723758</v>
      </c>
      <c r="L22" s="11">
        <f t="shared" si="8"/>
        <v>28907919</v>
      </c>
    </row>
    <row r="23" spans="1:12" ht="12.75">
      <c r="A23" s="3" t="s">
        <v>17</v>
      </c>
      <c r="B23" s="5">
        <v>0.02629994</v>
      </c>
      <c r="C23" s="9">
        <f t="shared" si="0"/>
        <v>43628979</v>
      </c>
      <c r="D23" s="9">
        <f>Tribes!H85</f>
        <v>6664</v>
      </c>
      <c r="E23" s="9">
        <f>C23-D23</f>
        <v>43622315</v>
      </c>
      <c r="F23" s="10">
        <v>0.7</v>
      </c>
      <c r="G23" s="42">
        <v>29664624</v>
      </c>
      <c r="H23" s="12">
        <f t="shared" si="2"/>
        <v>870997</v>
      </c>
      <c r="I23" s="12">
        <f t="shared" si="5"/>
        <v>30535621</v>
      </c>
      <c r="J23" s="11">
        <f t="shared" si="6"/>
        <v>30535621</v>
      </c>
      <c r="K23" s="12">
        <f t="shared" si="7"/>
        <v>30535621</v>
      </c>
      <c r="L23" s="11">
        <f t="shared" si="8"/>
        <v>13086695</v>
      </c>
    </row>
    <row r="24" spans="1:12" ht="12.75">
      <c r="A24" s="3" t="s">
        <v>18</v>
      </c>
      <c r="B24" s="5">
        <v>0.01863912</v>
      </c>
      <c r="C24" s="9">
        <f t="shared" si="0"/>
        <v>30920442</v>
      </c>
      <c r="D24" s="9"/>
      <c r="E24" s="9">
        <f t="shared" si="1"/>
        <v>30920442</v>
      </c>
      <c r="F24" s="10">
        <v>0.8</v>
      </c>
      <c r="G24" s="42">
        <v>21025901</v>
      </c>
      <c r="H24" s="12">
        <f t="shared" si="2"/>
        <v>3710453</v>
      </c>
      <c r="I24" s="12">
        <f t="shared" si="5"/>
        <v>24736354</v>
      </c>
      <c r="J24" s="11">
        <f t="shared" si="6"/>
        <v>24736354</v>
      </c>
      <c r="K24" s="12">
        <f t="shared" si="7"/>
        <v>24736354</v>
      </c>
      <c r="L24" s="11">
        <f t="shared" si="8"/>
        <v>9276133</v>
      </c>
    </row>
    <row r="25" spans="1:12" ht="12.75">
      <c r="A25" s="3" t="s">
        <v>19</v>
      </c>
      <c r="B25" s="5">
        <v>0.00855992</v>
      </c>
      <c r="C25" s="9">
        <f t="shared" si="0"/>
        <v>14200054</v>
      </c>
      <c r="D25" s="9">
        <f>Tribes!H94</f>
        <v>10175</v>
      </c>
      <c r="E25" s="9">
        <f aca="true" t="shared" si="9" ref="E25:E40">C25-D25</f>
        <v>14189879</v>
      </c>
      <c r="F25" s="10">
        <v>0.05</v>
      </c>
      <c r="G25" s="42">
        <v>709657</v>
      </c>
      <c r="H25" s="12">
        <f t="shared" si="2"/>
        <v>0</v>
      </c>
      <c r="I25" s="12">
        <f t="shared" si="5"/>
        <v>709657</v>
      </c>
      <c r="J25" s="11">
        <f t="shared" si="6"/>
        <v>709494</v>
      </c>
      <c r="K25" s="12">
        <f t="shared" si="7"/>
        <v>709494</v>
      </c>
      <c r="L25" s="11">
        <f t="shared" si="8"/>
        <v>709494</v>
      </c>
    </row>
    <row r="26" spans="1:12" ht="12.75">
      <c r="A26" s="3" t="s">
        <v>20</v>
      </c>
      <c r="B26" s="5">
        <v>0.0136864</v>
      </c>
      <c r="C26" s="9">
        <f t="shared" si="0"/>
        <v>22704374</v>
      </c>
      <c r="D26" s="9"/>
      <c r="E26" s="9">
        <f>C26-D26</f>
        <v>22704374</v>
      </c>
      <c r="F26" s="10">
        <v>0.9</v>
      </c>
      <c r="G26" s="42">
        <v>9081750</v>
      </c>
      <c r="H26" s="12">
        <f t="shared" si="2"/>
        <v>11352187</v>
      </c>
      <c r="I26" s="12">
        <f t="shared" si="5"/>
        <v>20433937</v>
      </c>
      <c r="J26" s="11">
        <f t="shared" si="6"/>
        <v>20433937</v>
      </c>
      <c r="K26" s="12">
        <f t="shared" si="7"/>
        <v>20433937</v>
      </c>
      <c r="L26" s="11">
        <f t="shared" si="8"/>
        <v>6811312</v>
      </c>
    </row>
    <row r="27" spans="1:12" ht="12.75">
      <c r="A27" s="3" t="s">
        <v>21</v>
      </c>
      <c r="B27" s="5">
        <v>0.00879264</v>
      </c>
      <c r="C27" s="9">
        <f t="shared" si="0"/>
        <v>14586113</v>
      </c>
      <c r="D27" s="9"/>
      <c r="E27" s="9">
        <f>C27-D27</f>
        <v>14586113</v>
      </c>
      <c r="F27" s="10">
        <v>0.9</v>
      </c>
      <c r="G27" s="42">
        <v>5834445</v>
      </c>
      <c r="H27" s="12">
        <f t="shared" si="2"/>
        <v>7293057</v>
      </c>
      <c r="I27" s="12">
        <f t="shared" si="5"/>
        <v>13127502</v>
      </c>
      <c r="J27" s="11">
        <f t="shared" si="6"/>
        <v>13127502</v>
      </c>
      <c r="K27" s="12">
        <f t="shared" si="7"/>
        <v>13127502</v>
      </c>
      <c r="L27" s="11">
        <f t="shared" si="8"/>
        <v>4375834</v>
      </c>
    </row>
    <row r="28" spans="1:12" ht="12.75">
      <c r="A28" s="3" t="s">
        <v>22</v>
      </c>
      <c r="B28" s="5">
        <v>0.01359579</v>
      </c>
      <c r="C28" s="9">
        <f t="shared" si="0"/>
        <v>22554061</v>
      </c>
      <c r="D28" s="9">
        <f>Tribes!H97</f>
        <v>824351</v>
      </c>
      <c r="E28" s="9">
        <f t="shared" si="9"/>
        <v>21729710</v>
      </c>
      <c r="F28" s="10">
        <v>0.85</v>
      </c>
      <c r="G28" s="42">
        <v>14955581</v>
      </c>
      <c r="H28" s="12">
        <f t="shared" si="2"/>
        <v>3514673</v>
      </c>
      <c r="I28" s="12">
        <f t="shared" si="5"/>
        <v>18470254</v>
      </c>
      <c r="J28" s="11">
        <f t="shared" si="6"/>
        <v>18470254</v>
      </c>
      <c r="K28" s="12">
        <f t="shared" si="7"/>
        <v>18470254</v>
      </c>
      <c r="L28" s="13">
        <f>E28*70%</f>
        <v>15210797</v>
      </c>
    </row>
    <row r="29" spans="1:12" ht="12.75">
      <c r="A29" s="3" t="s">
        <v>23</v>
      </c>
      <c r="B29" s="5">
        <v>0.01606896</v>
      </c>
      <c r="C29" s="9">
        <f t="shared" si="0"/>
        <v>26656803</v>
      </c>
      <c r="D29" s="9"/>
      <c r="E29" s="9">
        <f t="shared" si="9"/>
        <v>26656803</v>
      </c>
      <c r="F29" s="10">
        <v>0.65</v>
      </c>
      <c r="G29" s="42">
        <v>10662721</v>
      </c>
      <c r="H29" s="12">
        <f t="shared" si="2"/>
        <v>6664201</v>
      </c>
      <c r="I29" s="12">
        <f t="shared" si="5"/>
        <v>17326922</v>
      </c>
      <c r="J29" s="11">
        <f t="shared" si="6"/>
        <v>17326922</v>
      </c>
      <c r="K29" s="12">
        <f t="shared" si="7"/>
        <v>17326922</v>
      </c>
      <c r="L29" s="13">
        <f>E29*70%</f>
        <v>18659762</v>
      </c>
    </row>
    <row r="30" spans="1:12" ht="12.75">
      <c r="A30" s="3" t="s">
        <v>24</v>
      </c>
      <c r="B30" s="5">
        <v>0.04197959</v>
      </c>
      <c r="C30" s="9">
        <f t="shared" si="0"/>
        <v>69639956</v>
      </c>
      <c r="D30" s="9">
        <f>Tribes!H104</f>
        <v>27856</v>
      </c>
      <c r="E30" s="9">
        <f t="shared" si="9"/>
        <v>69612100</v>
      </c>
      <c r="F30" s="10">
        <v>0.5</v>
      </c>
      <c r="G30" s="42">
        <v>34810507</v>
      </c>
      <c r="H30" s="12">
        <f t="shared" si="2"/>
        <v>0</v>
      </c>
      <c r="I30" s="12">
        <f t="shared" si="5"/>
        <v>34810507</v>
      </c>
      <c r="J30" s="11">
        <f t="shared" si="6"/>
        <v>34806050</v>
      </c>
      <c r="K30" s="12">
        <f t="shared" si="7"/>
        <v>34806050</v>
      </c>
      <c r="L30" s="13">
        <f>E30*70%</f>
        <v>48728470</v>
      </c>
    </row>
    <row r="31" spans="1:12" ht="12.75">
      <c r="A31" s="3" t="s">
        <v>25</v>
      </c>
      <c r="B31" s="5">
        <v>0.05514805</v>
      </c>
      <c r="C31" s="9">
        <f t="shared" si="0"/>
        <v>91485119</v>
      </c>
      <c r="D31" s="9">
        <f>Tribes!H107</f>
        <v>585121</v>
      </c>
      <c r="E31" s="9">
        <f t="shared" si="9"/>
        <v>90899998</v>
      </c>
      <c r="F31" s="10">
        <v>0.85</v>
      </c>
      <c r="G31" s="42">
        <v>62061545</v>
      </c>
      <c r="H31" s="12">
        <f t="shared" si="2"/>
        <v>15203453</v>
      </c>
      <c r="I31" s="12">
        <f t="shared" si="5"/>
        <v>77264998</v>
      </c>
      <c r="J31" s="11">
        <f t="shared" si="6"/>
        <v>77264998</v>
      </c>
      <c r="K31" s="12">
        <f t="shared" si="7"/>
        <v>77264998</v>
      </c>
      <c r="L31" s="13">
        <f>E31*70%</f>
        <v>63629999</v>
      </c>
    </row>
    <row r="32" spans="1:12" ht="12.75">
      <c r="A32" s="3" t="s">
        <v>26</v>
      </c>
      <c r="B32" s="5">
        <v>0.03973105</v>
      </c>
      <c r="C32" s="9">
        <f t="shared" si="0"/>
        <v>65909852</v>
      </c>
      <c r="D32" s="9"/>
      <c r="E32" s="9">
        <f t="shared" si="9"/>
        <v>65909852</v>
      </c>
      <c r="F32" s="10">
        <v>1</v>
      </c>
      <c r="G32" s="42">
        <v>44818699</v>
      </c>
      <c r="H32" s="12">
        <f t="shared" si="2"/>
        <v>21091153</v>
      </c>
      <c r="I32" s="12">
        <f t="shared" si="5"/>
        <v>65909852</v>
      </c>
      <c r="J32" s="11">
        <f t="shared" si="6"/>
        <v>65909852</v>
      </c>
      <c r="K32" s="12">
        <f t="shared" si="7"/>
        <v>65909852</v>
      </c>
      <c r="L32" s="13">
        <f>E32*70%</f>
        <v>46136896</v>
      </c>
    </row>
    <row r="33" spans="1:12" ht="12.75">
      <c r="A33" s="3" t="s">
        <v>27</v>
      </c>
      <c r="B33" s="5">
        <v>0.00737355</v>
      </c>
      <c r="C33" s="9">
        <f t="shared" si="0"/>
        <v>12231985</v>
      </c>
      <c r="D33" s="9">
        <f>Tribes!H114</f>
        <v>20438</v>
      </c>
      <c r="E33" s="9">
        <f t="shared" si="9"/>
        <v>12211547</v>
      </c>
      <c r="F33" s="10">
        <v>0.9</v>
      </c>
      <c r="G33" s="42">
        <v>4889524</v>
      </c>
      <c r="H33" s="12">
        <f t="shared" si="2"/>
        <v>6100868</v>
      </c>
      <c r="I33" s="12">
        <f t="shared" si="5"/>
        <v>10990392</v>
      </c>
      <c r="J33" s="11">
        <f t="shared" si="6"/>
        <v>10990392</v>
      </c>
      <c r="K33" s="12">
        <f t="shared" si="7"/>
        <v>10990392</v>
      </c>
      <c r="L33" s="11">
        <f>IF(F33&gt;30%,E33*30%,F33*E33)</f>
        <v>3663464</v>
      </c>
    </row>
    <row r="34" spans="1:12" ht="12.75">
      <c r="A34" s="3" t="s">
        <v>28</v>
      </c>
      <c r="B34" s="5">
        <v>0.02320202</v>
      </c>
      <c r="C34" s="9">
        <f t="shared" si="0"/>
        <v>38489839</v>
      </c>
      <c r="D34" s="9"/>
      <c r="E34" s="9">
        <f t="shared" si="9"/>
        <v>38489839</v>
      </c>
      <c r="F34" s="10">
        <v>0.4</v>
      </c>
      <c r="G34" s="42">
        <v>15395936</v>
      </c>
      <c r="H34" s="12">
        <f t="shared" si="2"/>
        <v>0</v>
      </c>
      <c r="I34" s="12">
        <f t="shared" si="5"/>
        <v>15395936</v>
      </c>
      <c r="J34" s="11">
        <f t="shared" si="6"/>
        <v>15395936</v>
      </c>
      <c r="K34" s="12">
        <f t="shared" si="7"/>
        <v>15395936</v>
      </c>
      <c r="L34" s="11">
        <f>IF(F34&gt;30%,E34*30%,F34*E34)</f>
        <v>11546952</v>
      </c>
    </row>
    <row r="35" spans="1:12" ht="12.75">
      <c r="A35" s="3" t="s">
        <v>29</v>
      </c>
      <c r="B35" s="5">
        <v>0.00736027</v>
      </c>
      <c r="C35" s="9">
        <f t="shared" si="0"/>
        <v>12209954</v>
      </c>
      <c r="D35" s="9">
        <f>Tribes!H117</f>
        <v>1848673</v>
      </c>
      <c r="E35" s="9">
        <f t="shared" si="9"/>
        <v>10361281</v>
      </c>
      <c r="F35" s="10">
        <v>0.8</v>
      </c>
      <c r="G35" s="42">
        <v>7447942</v>
      </c>
      <c r="H35" s="12">
        <f t="shared" si="2"/>
        <v>841083</v>
      </c>
      <c r="I35" s="12">
        <f t="shared" si="5"/>
        <v>8289025</v>
      </c>
      <c r="J35" s="11">
        <f t="shared" si="6"/>
        <v>8289025</v>
      </c>
      <c r="K35" s="12">
        <f t="shared" si="7"/>
        <v>8289025</v>
      </c>
      <c r="L35" s="11">
        <f>IF(F35&gt;30%,E35*30%,F35*E35)</f>
        <v>3108384</v>
      </c>
    </row>
    <row r="36" spans="1:12" ht="12.75">
      <c r="A36" s="3" t="s">
        <v>30</v>
      </c>
      <c r="B36" s="5">
        <v>0.00921776</v>
      </c>
      <c r="C36" s="9">
        <f t="shared" si="0"/>
        <v>15291345</v>
      </c>
      <c r="D36" s="9">
        <f>Tribes!H125</f>
        <v>3600</v>
      </c>
      <c r="E36" s="9">
        <f t="shared" si="9"/>
        <v>15287745</v>
      </c>
      <c r="F36" s="10">
        <v>0.5</v>
      </c>
      <c r="G36" s="42">
        <v>7644449</v>
      </c>
      <c r="H36" s="12">
        <f t="shared" si="2"/>
        <v>0</v>
      </c>
      <c r="I36" s="12">
        <f t="shared" si="5"/>
        <v>7644449</v>
      </c>
      <c r="J36" s="11">
        <f t="shared" si="6"/>
        <v>7643873</v>
      </c>
      <c r="K36" s="12">
        <f t="shared" si="7"/>
        <v>7643873</v>
      </c>
      <c r="L36" s="11">
        <f>IF(F36&gt;30%,E36*30%,F36*E36)</f>
        <v>4586324</v>
      </c>
    </row>
    <row r="37" spans="1:12" ht="12.75">
      <c r="A37" s="3" t="s">
        <v>31</v>
      </c>
      <c r="B37" s="5">
        <v>0.00195349</v>
      </c>
      <c r="C37" s="9">
        <f t="shared" si="0"/>
        <v>3240645</v>
      </c>
      <c r="D37" s="9"/>
      <c r="E37" s="9">
        <f t="shared" si="9"/>
        <v>3240645</v>
      </c>
      <c r="F37" s="10">
        <v>0.25</v>
      </c>
      <c r="G37" s="42">
        <v>810161</v>
      </c>
      <c r="H37" s="12">
        <f t="shared" si="2"/>
        <v>0</v>
      </c>
      <c r="I37" s="12">
        <f t="shared" si="5"/>
        <v>810161</v>
      </c>
      <c r="J37" s="11">
        <f t="shared" si="6"/>
        <v>810161</v>
      </c>
      <c r="K37" s="12">
        <f t="shared" si="7"/>
        <v>810161</v>
      </c>
      <c r="L37" s="11">
        <f>IF(F37&gt;30%,E37*30%,F37*E37)</f>
        <v>810161</v>
      </c>
    </row>
    <row r="38" spans="1:12" ht="12.75">
      <c r="A38" s="3" t="s">
        <v>32</v>
      </c>
      <c r="B38" s="5">
        <v>0.00794588</v>
      </c>
      <c r="C38" s="9">
        <f t="shared" si="0"/>
        <v>13181423</v>
      </c>
      <c r="D38" s="9"/>
      <c r="E38" s="9">
        <f t="shared" si="9"/>
        <v>13181423</v>
      </c>
      <c r="F38" s="10">
        <v>0.9</v>
      </c>
      <c r="G38" s="42">
        <v>8963368</v>
      </c>
      <c r="H38" s="12">
        <f t="shared" si="2"/>
        <v>2899913</v>
      </c>
      <c r="I38" s="12">
        <f t="shared" si="5"/>
        <v>11863281</v>
      </c>
      <c r="J38" s="11">
        <f t="shared" si="6"/>
        <v>11863281</v>
      </c>
      <c r="K38" s="12">
        <f t="shared" si="7"/>
        <v>11863281</v>
      </c>
      <c r="L38" s="13">
        <f>E38*70%</f>
        <v>9226996</v>
      </c>
    </row>
    <row r="39" spans="1:12" ht="12.75">
      <c r="A39" s="3" t="s">
        <v>33</v>
      </c>
      <c r="B39" s="5">
        <v>0.03897152</v>
      </c>
      <c r="C39" s="9">
        <f t="shared" si="0"/>
        <v>64649868</v>
      </c>
      <c r="D39" s="9">
        <f>Tribes!H128</f>
        <v>161634</v>
      </c>
      <c r="E39" s="9">
        <f t="shared" si="9"/>
        <v>64488234</v>
      </c>
      <c r="F39" s="10">
        <v>0.9</v>
      </c>
      <c r="G39" s="42">
        <v>25834086</v>
      </c>
      <c r="H39" s="12">
        <f t="shared" si="2"/>
        <v>32205325</v>
      </c>
      <c r="I39" s="12">
        <f t="shared" si="5"/>
        <v>58039411</v>
      </c>
      <c r="J39" s="11">
        <f t="shared" si="6"/>
        <v>58039411</v>
      </c>
      <c r="K39" s="12">
        <f t="shared" si="7"/>
        <v>58039411</v>
      </c>
      <c r="L39" s="13">
        <f>E39*70%</f>
        <v>45141764</v>
      </c>
    </row>
    <row r="40" spans="1:12" ht="12.75">
      <c r="A40" s="3" t="s">
        <v>34</v>
      </c>
      <c r="B40" s="5">
        <v>0.00520713</v>
      </c>
      <c r="C40" s="9">
        <f t="shared" si="0"/>
        <v>8638110</v>
      </c>
      <c r="D40" s="9">
        <f>Tribes!H131</f>
        <v>647287</v>
      </c>
      <c r="E40" s="9">
        <f t="shared" si="9"/>
        <v>7990823</v>
      </c>
      <c r="F40" s="10">
        <v>1</v>
      </c>
      <c r="G40" s="42">
        <v>3351678</v>
      </c>
      <c r="H40" s="12">
        <f t="shared" si="2"/>
        <v>4639145</v>
      </c>
      <c r="I40" s="12">
        <f t="shared" si="5"/>
        <v>7990823</v>
      </c>
      <c r="J40" s="11">
        <f t="shared" si="6"/>
        <v>7990823</v>
      </c>
      <c r="K40" s="12">
        <f t="shared" si="7"/>
        <v>7990823</v>
      </c>
      <c r="L40" s="11">
        <f>IF(F40&gt;30%,E40*30%,F40*E40)</f>
        <v>2397247</v>
      </c>
    </row>
    <row r="41" spans="1:12" ht="12.75">
      <c r="A41" s="3" t="s">
        <v>35</v>
      </c>
      <c r="B41" s="5">
        <v>0.12724791</v>
      </c>
      <c r="C41" s="9">
        <f>ROUND(+B41*$B$70,0)</f>
        <v>211091601</v>
      </c>
      <c r="D41" s="9">
        <f>Tribes!H142</f>
        <v>369073</v>
      </c>
      <c r="E41" s="9">
        <f aca="true" t="shared" si="10" ref="E41:E56">C41-D41</f>
        <v>210722528</v>
      </c>
      <c r="F41" s="10">
        <v>0.9</v>
      </c>
      <c r="G41" s="42">
        <v>143490303</v>
      </c>
      <c r="H41" s="12">
        <f aca="true" t="shared" si="11" ref="H41:H59">IF(G41&gt;J41,0,J41-G41)</f>
        <v>46159972</v>
      </c>
      <c r="I41" s="12">
        <f t="shared" si="5"/>
        <v>189650275</v>
      </c>
      <c r="J41" s="11">
        <f t="shared" si="6"/>
        <v>189650275</v>
      </c>
      <c r="K41" s="12">
        <f t="shared" si="7"/>
        <v>189650275</v>
      </c>
      <c r="L41" s="13">
        <f>E41*70%</f>
        <v>147505770</v>
      </c>
    </row>
    <row r="42" spans="1:12" ht="12.75">
      <c r="A42" s="3" t="s">
        <v>36</v>
      </c>
      <c r="B42" s="5">
        <v>0.0189638</v>
      </c>
      <c r="C42" s="9">
        <f aca="true" t="shared" si="12" ref="C42:C58">ROUND(+B42*$B$70,0)</f>
        <v>31459054</v>
      </c>
      <c r="D42" s="9">
        <f>Tribes!H146</f>
        <v>505634</v>
      </c>
      <c r="E42" s="9">
        <f t="shared" si="10"/>
        <v>30953420</v>
      </c>
      <c r="F42" s="10">
        <v>0.25</v>
      </c>
      <c r="G42" s="42">
        <v>7814200</v>
      </c>
      <c r="H42" s="12">
        <f t="shared" si="11"/>
        <v>0</v>
      </c>
      <c r="I42" s="12">
        <f t="shared" si="5"/>
        <v>7814200</v>
      </c>
      <c r="J42" s="11">
        <f t="shared" si="6"/>
        <v>7738355</v>
      </c>
      <c r="K42" s="12">
        <f t="shared" si="7"/>
        <v>7738355</v>
      </c>
      <c r="L42" s="11">
        <f>IF(F42&gt;30%,E42*30%,F42*E42)</f>
        <v>7738355</v>
      </c>
    </row>
    <row r="43" spans="1:12" ht="12.75">
      <c r="A43" s="3" t="s">
        <v>37</v>
      </c>
      <c r="B43" s="5">
        <v>0.00799548</v>
      </c>
      <c r="C43" s="9">
        <f t="shared" si="12"/>
        <v>13263704</v>
      </c>
      <c r="D43" s="9">
        <f>Tribes!H149</f>
        <v>2513471</v>
      </c>
      <c r="E43" s="9">
        <f t="shared" si="10"/>
        <v>10750233</v>
      </c>
      <c r="F43" s="10">
        <v>0.5</v>
      </c>
      <c r="G43" s="42">
        <v>5777272</v>
      </c>
      <c r="H43" s="12">
        <f t="shared" si="11"/>
        <v>0</v>
      </c>
      <c r="I43" s="12">
        <f t="shared" si="5"/>
        <v>5777272</v>
      </c>
      <c r="J43" s="11">
        <f t="shared" si="6"/>
        <v>5375117</v>
      </c>
      <c r="K43" s="12">
        <f t="shared" si="7"/>
        <v>5375117</v>
      </c>
      <c r="L43" s="11">
        <f>IF(F43&gt;30%,E43*30%,F43*E43)</f>
        <v>3225070</v>
      </c>
    </row>
    <row r="44" spans="1:12" ht="12.75">
      <c r="A44" s="3" t="s">
        <v>38</v>
      </c>
      <c r="B44" s="5">
        <v>0.0513862</v>
      </c>
      <c r="C44" s="9">
        <f t="shared" si="12"/>
        <v>85244585</v>
      </c>
      <c r="D44" s="9"/>
      <c r="E44" s="9">
        <f t="shared" si="10"/>
        <v>85244585</v>
      </c>
      <c r="F44" s="10">
        <v>0.45</v>
      </c>
      <c r="G44" s="42">
        <v>38360063</v>
      </c>
      <c r="H44" s="12">
        <f t="shared" si="11"/>
        <v>0</v>
      </c>
      <c r="I44" s="12">
        <f t="shared" si="5"/>
        <v>38360063</v>
      </c>
      <c r="J44" s="11">
        <f t="shared" si="6"/>
        <v>38360063</v>
      </c>
      <c r="K44" s="12">
        <f t="shared" si="7"/>
        <v>38360063</v>
      </c>
      <c r="L44" s="13">
        <f>E44*70%</f>
        <v>59671210</v>
      </c>
    </row>
    <row r="45" spans="1:12" ht="12.75">
      <c r="A45" s="3" t="s">
        <v>39</v>
      </c>
      <c r="B45" s="5">
        <v>0.00790558</v>
      </c>
      <c r="C45" s="9">
        <f t="shared" si="12"/>
        <v>13114569</v>
      </c>
      <c r="D45" s="9">
        <f>Tribes!H155</f>
        <v>1152793</v>
      </c>
      <c r="E45" s="9">
        <f t="shared" si="10"/>
        <v>11961776</v>
      </c>
      <c r="F45" s="10">
        <v>0.9</v>
      </c>
      <c r="G45" s="42">
        <v>5061380</v>
      </c>
      <c r="H45" s="12">
        <f t="shared" si="11"/>
        <v>5704218</v>
      </c>
      <c r="I45" s="12">
        <f t="shared" si="5"/>
        <v>10765598</v>
      </c>
      <c r="J45" s="11">
        <f t="shared" si="6"/>
        <v>10765598</v>
      </c>
      <c r="K45" s="12">
        <f t="shared" si="7"/>
        <v>10765598</v>
      </c>
      <c r="L45" s="11">
        <f>IF(F45&gt;30%,E45*30%,F45*E45)</f>
        <v>3588533</v>
      </c>
    </row>
    <row r="46" spans="1:12" ht="12.75">
      <c r="A46" s="3" t="s">
        <v>40</v>
      </c>
      <c r="B46" s="5">
        <v>0.01246826</v>
      </c>
      <c r="C46" s="9">
        <f t="shared" si="12"/>
        <v>20683601</v>
      </c>
      <c r="D46" s="9">
        <f>Tribes!H187</f>
        <v>390295</v>
      </c>
      <c r="E46" s="9">
        <f t="shared" si="10"/>
        <v>20293306</v>
      </c>
      <c r="F46" s="10">
        <v>0.75</v>
      </c>
      <c r="G46" s="42">
        <v>8245701</v>
      </c>
      <c r="H46" s="12">
        <f t="shared" si="11"/>
        <v>6974279</v>
      </c>
      <c r="I46" s="12">
        <f t="shared" si="5"/>
        <v>15219980</v>
      </c>
      <c r="J46" s="11">
        <f t="shared" si="6"/>
        <v>15219980</v>
      </c>
      <c r="K46" s="12">
        <f t="shared" si="7"/>
        <v>15219980</v>
      </c>
      <c r="L46" s="11">
        <f>IF(F46&gt;30%,E46*30%,F46*E46)</f>
        <v>6087992</v>
      </c>
    </row>
    <row r="47" spans="1:12" ht="12.75">
      <c r="A47" s="3" t="s">
        <v>41</v>
      </c>
      <c r="B47" s="5">
        <v>0.0683509</v>
      </c>
      <c r="C47" s="9">
        <f t="shared" si="12"/>
        <v>113387331</v>
      </c>
      <c r="D47" s="9"/>
      <c r="E47" s="9">
        <f t="shared" si="10"/>
        <v>113387331</v>
      </c>
      <c r="F47" s="10">
        <v>0.6</v>
      </c>
      <c r="G47" s="42">
        <v>68032399</v>
      </c>
      <c r="H47" s="12">
        <f t="shared" si="11"/>
        <v>0</v>
      </c>
      <c r="I47" s="12">
        <f t="shared" si="5"/>
        <v>68032399</v>
      </c>
      <c r="J47" s="11">
        <f t="shared" si="6"/>
        <v>68032399</v>
      </c>
      <c r="K47" s="12">
        <f t="shared" si="7"/>
        <v>68032399</v>
      </c>
      <c r="L47" s="13">
        <f>E47*70%</f>
        <v>79371132</v>
      </c>
    </row>
    <row r="48" spans="1:12" ht="12.75">
      <c r="A48" s="3" t="s">
        <v>42</v>
      </c>
      <c r="B48" s="5">
        <v>0.00691008</v>
      </c>
      <c r="C48" s="9">
        <f t="shared" si="12"/>
        <v>11463134</v>
      </c>
      <c r="D48" s="9">
        <f>Tribes!H198</f>
        <v>32480</v>
      </c>
      <c r="E48" s="9">
        <f t="shared" si="10"/>
        <v>11430654</v>
      </c>
      <c r="F48" s="10">
        <v>0.75</v>
      </c>
      <c r="G48" s="42">
        <v>4580057</v>
      </c>
      <c r="H48" s="12">
        <f t="shared" si="11"/>
        <v>3992934</v>
      </c>
      <c r="I48" s="12">
        <f t="shared" si="5"/>
        <v>8572991</v>
      </c>
      <c r="J48" s="11">
        <f t="shared" si="6"/>
        <v>8572991</v>
      </c>
      <c r="K48" s="12">
        <f t="shared" si="7"/>
        <v>8572991</v>
      </c>
      <c r="L48" s="13">
        <f>E48*70%</f>
        <v>8001458</v>
      </c>
    </row>
    <row r="49" spans="1:12" ht="12.75">
      <c r="A49" s="3" t="s">
        <v>43</v>
      </c>
      <c r="B49" s="5">
        <v>0.00683051</v>
      </c>
      <c r="C49" s="9">
        <f t="shared" si="12"/>
        <v>11331135</v>
      </c>
      <c r="D49" s="9"/>
      <c r="E49" s="9">
        <f t="shared" si="10"/>
        <v>11331135</v>
      </c>
      <c r="F49" s="10">
        <v>0.5</v>
      </c>
      <c r="G49" s="42">
        <v>4532454</v>
      </c>
      <c r="H49" s="12">
        <f t="shared" si="11"/>
        <v>1133114</v>
      </c>
      <c r="I49" s="12">
        <f t="shared" si="5"/>
        <v>5665568</v>
      </c>
      <c r="J49" s="11">
        <f t="shared" si="6"/>
        <v>5665568</v>
      </c>
      <c r="K49" s="12">
        <f t="shared" si="7"/>
        <v>5665568</v>
      </c>
      <c r="L49" s="11">
        <f>IF(F49&gt;30%,E49*30%,F49*E49)</f>
        <v>3399341</v>
      </c>
    </row>
    <row r="50" spans="1:12" ht="12.75">
      <c r="A50" s="3" t="s">
        <v>44</v>
      </c>
      <c r="B50" s="5">
        <v>0.00649373</v>
      </c>
      <c r="C50" s="9">
        <f t="shared" si="12"/>
        <v>10772451</v>
      </c>
      <c r="D50" s="9">
        <f>Tribes!H201</f>
        <v>1915341</v>
      </c>
      <c r="E50" s="9">
        <f t="shared" si="10"/>
        <v>8857110</v>
      </c>
      <c r="F50" s="10">
        <v>0.9</v>
      </c>
      <c r="G50" s="42">
        <v>6439614</v>
      </c>
      <c r="H50" s="12">
        <f t="shared" si="11"/>
        <v>1531785</v>
      </c>
      <c r="I50" s="12">
        <f t="shared" si="5"/>
        <v>7971399</v>
      </c>
      <c r="J50" s="11">
        <f t="shared" si="6"/>
        <v>7971399</v>
      </c>
      <c r="K50" s="12">
        <f t="shared" si="7"/>
        <v>7971399</v>
      </c>
      <c r="L50" s="11">
        <f>IF(F50&gt;30%,E50*30%,F50*E50)</f>
        <v>2657133</v>
      </c>
    </row>
    <row r="51" spans="1:12" ht="12.75">
      <c r="A51" s="3" t="s">
        <v>45</v>
      </c>
      <c r="B51" s="5">
        <v>0.01386403</v>
      </c>
      <c r="C51" s="9">
        <f t="shared" si="12"/>
        <v>22999044</v>
      </c>
      <c r="D51" s="9"/>
      <c r="E51" s="9">
        <f t="shared" si="10"/>
        <v>22999044</v>
      </c>
      <c r="F51" s="10">
        <v>0.5</v>
      </c>
      <c r="G51" s="42">
        <v>9199618</v>
      </c>
      <c r="H51" s="12">
        <f t="shared" si="11"/>
        <v>2299904</v>
      </c>
      <c r="I51" s="12">
        <f t="shared" si="5"/>
        <v>11499522</v>
      </c>
      <c r="J51" s="11">
        <f t="shared" si="6"/>
        <v>11499522</v>
      </c>
      <c r="K51" s="12">
        <f t="shared" si="7"/>
        <v>11499522</v>
      </c>
      <c r="L51" s="11">
        <f>IF(F51&gt;30%,E51*30%,F51*E51)</f>
        <v>6899713</v>
      </c>
    </row>
    <row r="52" spans="1:12" ht="12.75">
      <c r="A52" s="3" t="s">
        <v>46</v>
      </c>
      <c r="B52" s="5">
        <v>0.02263997</v>
      </c>
      <c r="C52" s="9">
        <f t="shared" si="12"/>
        <v>37557454</v>
      </c>
      <c r="D52" s="9"/>
      <c r="E52" s="9">
        <f t="shared" si="10"/>
        <v>37557454</v>
      </c>
      <c r="F52" s="10">
        <v>0.85</v>
      </c>
      <c r="G52" s="42">
        <v>15022982</v>
      </c>
      <c r="H52" s="12">
        <f t="shared" si="11"/>
        <v>16900854</v>
      </c>
      <c r="I52" s="12">
        <f t="shared" si="5"/>
        <v>31923836</v>
      </c>
      <c r="J52" s="11">
        <f t="shared" si="6"/>
        <v>31923836</v>
      </c>
      <c r="K52" s="12">
        <f t="shared" si="7"/>
        <v>31923836</v>
      </c>
      <c r="L52" s="11">
        <f>IF(F52&gt;30%,E52*30%,F52*E52)</f>
        <v>11267236</v>
      </c>
    </row>
    <row r="53" spans="1:12" ht="12.75">
      <c r="A53" s="3" t="s">
        <v>47</v>
      </c>
      <c r="B53" s="5">
        <v>0.00747576</v>
      </c>
      <c r="C53" s="9">
        <f t="shared" si="12"/>
        <v>12401541</v>
      </c>
      <c r="D53" s="9">
        <f>Tribes!H210</f>
        <v>251507</v>
      </c>
      <c r="E53" s="9">
        <f t="shared" si="10"/>
        <v>12150034</v>
      </c>
      <c r="F53" s="10">
        <v>0.6</v>
      </c>
      <c r="G53" s="42">
        <v>7352446</v>
      </c>
      <c r="H53" s="12">
        <f t="shared" si="11"/>
        <v>0</v>
      </c>
      <c r="I53" s="12">
        <f t="shared" si="5"/>
        <v>7352446</v>
      </c>
      <c r="J53" s="11">
        <f t="shared" si="6"/>
        <v>7290020</v>
      </c>
      <c r="K53" s="12">
        <f t="shared" si="7"/>
        <v>7290020</v>
      </c>
      <c r="L53" s="11">
        <f>IF(F53&gt;30%,E53*30%,F53*E53)</f>
        <v>3645010</v>
      </c>
    </row>
    <row r="54" spans="1:12" ht="12.75">
      <c r="A54" s="3" t="s">
        <v>48</v>
      </c>
      <c r="B54" s="5">
        <v>0.00595572</v>
      </c>
      <c r="C54" s="9">
        <f t="shared" si="12"/>
        <v>9879946</v>
      </c>
      <c r="D54" s="9"/>
      <c r="E54" s="9">
        <f t="shared" si="10"/>
        <v>9879946</v>
      </c>
      <c r="F54" s="10">
        <v>0.88</v>
      </c>
      <c r="G54" s="42">
        <v>6718363</v>
      </c>
      <c r="H54" s="12">
        <f t="shared" si="11"/>
        <v>1975989</v>
      </c>
      <c r="I54" s="12">
        <f t="shared" si="5"/>
        <v>8694352</v>
      </c>
      <c r="J54" s="11">
        <f t="shared" si="6"/>
        <v>8694352</v>
      </c>
      <c r="K54" s="12">
        <f t="shared" si="7"/>
        <v>8694352</v>
      </c>
      <c r="L54" s="13">
        <f>E54*70%</f>
        <v>6915962</v>
      </c>
    </row>
    <row r="55" spans="1:12" ht="12.75">
      <c r="A55" s="3" t="s">
        <v>49</v>
      </c>
      <c r="B55" s="5">
        <v>0.01957379</v>
      </c>
      <c r="C55" s="9">
        <f t="shared" si="12"/>
        <v>32470967</v>
      </c>
      <c r="D55" s="9"/>
      <c r="E55" s="9">
        <f t="shared" si="10"/>
        <v>32470967</v>
      </c>
      <c r="F55" s="10">
        <v>0.21</v>
      </c>
      <c r="G55" s="42">
        <v>6818903</v>
      </c>
      <c r="H55" s="12">
        <f t="shared" si="11"/>
        <v>0</v>
      </c>
      <c r="I55" s="12">
        <f t="shared" si="5"/>
        <v>6818903</v>
      </c>
      <c r="J55" s="11">
        <f t="shared" si="6"/>
        <v>6818903</v>
      </c>
      <c r="K55" s="12">
        <f t="shared" si="7"/>
        <v>6818903</v>
      </c>
      <c r="L55" s="13">
        <f>E55*70%</f>
        <v>22729677</v>
      </c>
    </row>
    <row r="56" spans="1:12" ht="12.75">
      <c r="A56" s="3" t="s">
        <v>50</v>
      </c>
      <c r="B56" s="5">
        <v>0.02050857</v>
      </c>
      <c r="C56" s="9">
        <f t="shared" si="12"/>
        <v>34021674</v>
      </c>
      <c r="D56" s="9">
        <f>Tribes!H215</f>
        <v>1388820</v>
      </c>
      <c r="E56" s="9">
        <f t="shared" si="10"/>
        <v>32632854</v>
      </c>
      <c r="F56" s="10">
        <v>0.75</v>
      </c>
      <c r="G56" s="42">
        <v>13386458</v>
      </c>
      <c r="H56" s="12">
        <f t="shared" si="11"/>
        <v>11088183</v>
      </c>
      <c r="I56" s="12">
        <f t="shared" si="5"/>
        <v>24474641</v>
      </c>
      <c r="J56" s="11">
        <f t="shared" si="6"/>
        <v>24474641</v>
      </c>
      <c r="K56" s="12">
        <f t="shared" si="7"/>
        <v>24474641</v>
      </c>
      <c r="L56" s="11">
        <f>IF(F56&gt;30%,E56*30%,F56*E56)</f>
        <v>9789856</v>
      </c>
    </row>
    <row r="57" spans="1:12" ht="12.75">
      <c r="A57" s="3" t="s">
        <v>51</v>
      </c>
      <c r="B57" s="5">
        <v>0.00905733</v>
      </c>
      <c r="C57" s="9">
        <f t="shared" si="12"/>
        <v>15025208</v>
      </c>
      <c r="D57" s="9"/>
      <c r="E57" s="9">
        <f>C57-D57</f>
        <v>15025208</v>
      </c>
      <c r="F57" s="10">
        <v>0.5</v>
      </c>
      <c r="G57" s="42">
        <v>6010083</v>
      </c>
      <c r="H57" s="12">
        <f t="shared" si="11"/>
        <v>1502521</v>
      </c>
      <c r="I57" s="12">
        <f t="shared" si="5"/>
        <v>7512604</v>
      </c>
      <c r="J57" s="11">
        <f t="shared" si="6"/>
        <v>7512604</v>
      </c>
      <c r="K57" s="12">
        <f t="shared" si="7"/>
        <v>7512604</v>
      </c>
      <c r="L57" s="11">
        <f>IF(F57&gt;30%,E57*30%,F57*E57)</f>
        <v>4507562</v>
      </c>
    </row>
    <row r="58" spans="1:12" ht="12.75">
      <c r="A58" s="3" t="s">
        <v>52</v>
      </c>
      <c r="B58" s="5">
        <v>0.03576365</v>
      </c>
      <c r="C58" s="9">
        <f t="shared" si="12"/>
        <v>59328331</v>
      </c>
      <c r="D58" s="9"/>
      <c r="E58" s="9">
        <f>C58-D58</f>
        <v>59328331</v>
      </c>
      <c r="F58" s="10">
        <v>0.38</v>
      </c>
      <c r="G58" s="42">
        <v>22544766</v>
      </c>
      <c r="H58" s="12">
        <f t="shared" si="11"/>
        <v>0</v>
      </c>
      <c r="I58" s="12">
        <f t="shared" si="5"/>
        <v>22544766</v>
      </c>
      <c r="J58" s="11">
        <f t="shared" si="6"/>
        <v>22544766</v>
      </c>
      <c r="K58" s="12">
        <f t="shared" si="7"/>
        <v>22544766</v>
      </c>
      <c r="L58" s="11">
        <f>IF(F58&gt;30%,E58*30%,F58*E58)</f>
        <v>17798499</v>
      </c>
    </row>
    <row r="59" spans="1:12" ht="12.75">
      <c r="A59" s="3" t="s">
        <v>53</v>
      </c>
      <c r="B59" s="5">
        <v>0.00299313</v>
      </c>
      <c r="C59" s="9">
        <f>ROUND(+B59*$B$70,0)</f>
        <v>4965304</v>
      </c>
      <c r="D59" s="9">
        <f>Tribes!H238</f>
        <v>210000</v>
      </c>
      <c r="E59" s="9">
        <f>C59-D59</f>
        <v>4755304</v>
      </c>
      <c r="F59" s="10">
        <v>0.45</v>
      </c>
      <c r="G59" s="42">
        <v>2170127</v>
      </c>
      <c r="H59" s="12">
        <f t="shared" si="11"/>
        <v>0</v>
      </c>
      <c r="I59" s="12">
        <f t="shared" si="5"/>
        <v>2170127</v>
      </c>
      <c r="J59" s="11">
        <f t="shared" si="6"/>
        <v>2139887</v>
      </c>
      <c r="K59" s="12">
        <f t="shared" si="7"/>
        <v>2139887</v>
      </c>
      <c r="L59" s="11">
        <f>IF(F59&gt;30%,E59*30%,F59*E59)</f>
        <v>1426591</v>
      </c>
    </row>
    <row r="60" ht="12.75">
      <c r="B60" s="5"/>
    </row>
    <row r="61" spans="1:12" ht="12.75">
      <c r="A61" s="8" t="s">
        <v>54</v>
      </c>
      <c r="B61" s="5"/>
      <c r="C61" s="9">
        <f>SUM(C9:C59)</f>
        <v>1658900338</v>
      </c>
      <c r="D61" s="9">
        <f>SUM(D9:D59)</f>
        <v>15568556</v>
      </c>
      <c r="E61" s="9">
        <f>SUM(E9:E59)</f>
        <v>1643331782</v>
      </c>
      <c r="G61" s="39">
        <v>842876662</v>
      </c>
      <c r="H61" s="9">
        <f>SUM(H9:H59)</f>
        <v>264552868</v>
      </c>
      <c r="I61" s="9">
        <f>SUM(I9:I59)</f>
        <v>1107429530</v>
      </c>
      <c r="J61" s="9">
        <f>SUM(J9:J59)</f>
        <v>1106494137</v>
      </c>
      <c r="K61" s="9">
        <f>SUM(K9:K59)</f>
        <v>1106494137</v>
      </c>
      <c r="L61" s="9">
        <f>SUM(L9:L59)</f>
        <v>823707166</v>
      </c>
    </row>
    <row r="62" spans="1:5" ht="12.75">
      <c r="A62" s="8"/>
      <c r="B62" s="5"/>
      <c r="C62" s="9"/>
      <c r="D62" s="9"/>
      <c r="E62" s="9"/>
    </row>
    <row r="63" ht="12.75">
      <c r="C63" s="8" t="s">
        <v>55</v>
      </c>
    </row>
    <row r="64" spans="1:5" ht="12.75">
      <c r="A64" s="3" t="s">
        <v>246</v>
      </c>
      <c r="B64" s="14">
        <v>1688950000</v>
      </c>
      <c r="C64" s="8" t="s">
        <v>269</v>
      </c>
      <c r="D64" s="2"/>
      <c r="E64" s="15"/>
    </row>
    <row r="65" spans="1:11" ht="12.75">
      <c r="A65" s="44" t="s">
        <v>234</v>
      </c>
      <c r="B65" s="14">
        <v>27500000</v>
      </c>
      <c r="C65" s="3" t="s">
        <v>56</v>
      </c>
      <c r="D65" s="9">
        <f>ROUND(0.01654258*$B$69,0)</f>
        <v>37215</v>
      </c>
      <c r="E65" s="9"/>
      <c r="F65" s="4" t="s">
        <v>268</v>
      </c>
      <c r="G65" s="39">
        <v>842876662</v>
      </c>
      <c r="H65" s="16">
        <f>H61</f>
        <v>264552868</v>
      </c>
      <c r="I65" s="16">
        <f>G65+H65</f>
        <v>1107429530</v>
      </c>
      <c r="J65" s="16">
        <f>J61</f>
        <v>1106494137</v>
      </c>
      <c r="K65" s="12">
        <f>+K61</f>
        <v>1106494137</v>
      </c>
    </row>
    <row r="66" spans="1:11" ht="12.75">
      <c r="A66" s="8" t="s">
        <v>240</v>
      </c>
      <c r="B66" s="14">
        <f>B64-B65</f>
        <v>1661450000</v>
      </c>
      <c r="C66" s="3" t="s">
        <v>57</v>
      </c>
      <c r="D66" s="9">
        <f>ROUND(0.03626904*$B$69,0)</f>
        <v>81593</v>
      </c>
      <c r="E66" s="9"/>
      <c r="F66" s="4" t="s">
        <v>84</v>
      </c>
      <c r="G66" s="39">
        <v>8581169</v>
      </c>
      <c r="H66" s="16">
        <f>J66-G66</f>
        <v>6987387</v>
      </c>
      <c r="I66" s="16">
        <f>G66+H66</f>
        <v>15568556</v>
      </c>
      <c r="J66" s="16">
        <f>+D61</f>
        <v>15568556</v>
      </c>
      <c r="K66" s="12">
        <f>+D61</f>
        <v>15568556</v>
      </c>
    </row>
    <row r="67" spans="1:11" ht="12.75">
      <c r="A67" s="3" t="s">
        <v>60</v>
      </c>
      <c r="B67" s="14">
        <v>300000</v>
      </c>
      <c r="C67" s="3" t="s">
        <v>58</v>
      </c>
      <c r="D67" s="9">
        <f>ROUND(0.01259719*$B$69,0)+1</f>
        <v>28340</v>
      </c>
      <c r="E67" s="9"/>
      <c r="F67" s="4" t="s">
        <v>269</v>
      </c>
      <c r="G67" s="39">
        <v>899865</v>
      </c>
      <c r="H67" s="16">
        <f>J67-G67</f>
        <v>1349797</v>
      </c>
      <c r="I67" s="16">
        <f>G67+H67</f>
        <v>2249662</v>
      </c>
      <c r="J67" s="16">
        <f>+D70</f>
        <v>2249662</v>
      </c>
      <c r="K67" s="12">
        <f>D70</f>
        <v>2249662</v>
      </c>
    </row>
    <row r="68" spans="1:11" ht="12.75">
      <c r="A68" s="8" t="s">
        <v>241</v>
      </c>
      <c r="B68" s="14">
        <f>B66-B67</f>
        <v>1661150000</v>
      </c>
      <c r="C68" s="3" t="s">
        <v>59</v>
      </c>
      <c r="D68" s="9">
        <f>ROUND(0.90029483*$B$69,0)</f>
        <v>2025359</v>
      </c>
      <c r="E68" s="9"/>
      <c r="J68" s="16"/>
      <c r="K68" s="12"/>
    </row>
    <row r="69" spans="1:11" ht="12.75">
      <c r="A69" s="3" t="s">
        <v>63</v>
      </c>
      <c r="B69" s="14">
        <f>ROUND(B68*0.00135428,0)</f>
        <v>2249662</v>
      </c>
      <c r="C69" s="3" t="s">
        <v>61</v>
      </c>
      <c r="D69" s="9">
        <f>ROUND(0.03429636*$B$69,0)</f>
        <v>77155</v>
      </c>
      <c r="E69" s="9"/>
      <c r="G69" s="39">
        <v>852357696</v>
      </c>
      <c r="H69" s="16">
        <f>(H65+H66+H67)</f>
        <v>272890052</v>
      </c>
      <c r="I69" s="16">
        <f>(I65+I66+I67)</f>
        <v>1125247748</v>
      </c>
      <c r="J69" s="16">
        <f>(J65+J66+J67)</f>
        <v>1124312355</v>
      </c>
      <c r="K69" s="12">
        <f>(K65+K66+K67)</f>
        <v>1124312355</v>
      </c>
    </row>
    <row r="70" spans="1:5" ht="12.75">
      <c r="A70" s="3" t="s">
        <v>64</v>
      </c>
      <c r="B70" s="14">
        <f>ROUND(+B68-B69,0)</f>
        <v>1658900338</v>
      </c>
      <c r="C70" s="3" t="s">
        <v>62</v>
      </c>
      <c r="D70" s="9">
        <f>SUM(D65:D69)</f>
        <v>2249662</v>
      </c>
      <c r="E70" s="9"/>
    </row>
    <row r="72" ht="12.75">
      <c r="J72" s="12"/>
    </row>
  </sheetData>
  <sheetProtection password="EECF" sheet="1" objects="1" scenarios="1"/>
  <printOptions gridLines="1"/>
  <pageMargins left="0.4" right="0.25" top="0.3" bottom="0.5" header="0.17" footer="0.5"/>
  <pageSetup fitToHeight="4" fitToWidth="2" horizontalDpi="300" verticalDpi="300" orientation="landscape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561"/>
  <sheetViews>
    <sheetView showGridLines="0" zoomScale="115" zoomScaleNormal="115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8" sqref="A8"/>
    </sheetView>
  </sheetViews>
  <sheetFormatPr defaultColWidth="15.625" defaultRowHeight="12.75"/>
  <cols>
    <col min="1" max="1" width="40.625" style="4" customWidth="1"/>
    <col min="2" max="2" width="12.625" style="4" customWidth="1"/>
    <col min="3" max="4" width="10.625" style="4" customWidth="1"/>
    <col min="5" max="6" width="14.625" style="4" customWidth="1"/>
    <col min="7" max="8" width="12.625" style="4" customWidth="1"/>
    <col min="9" max="9" width="13.625" style="4" customWidth="1"/>
    <col min="10" max="10" width="25.625" style="4" customWidth="1"/>
    <col min="11" max="16384" width="15.625" style="4" customWidth="1"/>
  </cols>
  <sheetData>
    <row r="1" spans="1:10" ht="12.75">
      <c r="A1" s="3" t="s">
        <v>251</v>
      </c>
      <c r="H1" s="4" t="s">
        <v>65</v>
      </c>
      <c r="J1" s="3" t="s">
        <v>55</v>
      </c>
    </row>
    <row r="2" spans="1:6" ht="12.75">
      <c r="A2" s="32" t="s">
        <v>286</v>
      </c>
      <c r="C2" s="3" t="s">
        <v>66</v>
      </c>
      <c r="F2" s="1" t="s">
        <v>279</v>
      </c>
    </row>
    <row r="3" spans="1:6" ht="12.75">
      <c r="A3" s="38" t="s">
        <v>287</v>
      </c>
      <c r="F3" s="2" t="s">
        <v>277</v>
      </c>
    </row>
    <row r="4" spans="1:6" ht="12.75">
      <c r="A4" s="3" t="s">
        <v>67</v>
      </c>
      <c r="B4" s="3" t="s">
        <v>68</v>
      </c>
      <c r="F4" s="17" t="s">
        <v>55</v>
      </c>
    </row>
    <row r="5" spans="1:2" ht="12.75">
      <c r="A5" s="3" t="s">
        <v>69</v>
      </c>
      <c r="B5" s="3" t="s">
        <v>70</v>
      </c>
    </row>
    <row r="6" spans="1:2" ht="12.75">
      <c r="A6" s="3" t="s">
        <v>71</v>
      </c>
      <c r="B6" s="3" t="s">
        <v>72</v>
      </c>
    </row>
    <row r="7" spans="1:2" ht="12.75">
      <c r="A7" s="3" t="s">
        <v>73</v>
      </c>
      <c r="B7" s="3" t="s">
        <v>74</v>
      </c>
    </row>
    <row r="8" spans="7:8" ht="12.75">
      <c r="G8" s="8" t="s">
        <v>75</v>
      </c>
      <c r="H8" s="8" t="s">
        <v>76</v>
      </c>
    </row>
    <row r="9" spans="2:9" ht="12.75">
      <c r="B9" s="8" t="s">
        <v>77</v>
      </c>
      <c r="C9" s="8" t="s">
        <v>78</v>
      </c>
      <c r="E9" s="8" t="s">
        <v>79</v>
      </c>
      <c r="F9" s="8" t="s">
        <v>80</v>
      </c>
      <c r="G9" s="8" t="s">
        <v>81</v>
      </c>
      <c r="H9" s="8" t="s">
        <v>82</v>
      </c>
      <c r="I9" s="8" t="s">
        <v>83</v>
      </c>
    </row>
    <row r="10" spans="1:9" ht="12.75">
      <c r="A10" s="8" t="s">
        <v>84</v>
      </c>
      <c r="B10" s="8" t="s">
        <v>85</v>
      </c>
      <c r="C10" s="8" t="s">
        <v>86</v>
      </c>
      <c r="D10" s="8" t="s">
        <v>87</v>
      </c>
      <c r="E10" s="8" t="s">
        <v>88</v>
      </c>
      <c r="F10" s="8" t="s">
        <v>89</v>
      </c>
      <c r="G10" s="8" t="s">
        <v>90</v>
      </c>
      <c r="H10" s="8" t="s">
        <v>91</v>
      </c>
      <c r="I10" s="8" t="s">
        <v>92</v>
      </c>
    </row>
    <row r="12" spans="1:9" ht="12.75">
      <c r="A12" s="3" t="s">
        <v>3</v>
      </c>
      <c r="E12" s="9">
        <f>States!C9</f>
        <v>14267289</v>
      </c>
      <c r="H12" s="9">
        <f>SUM($G13:$G16)</f>
        <v>87369</v>
      </c>
      <c r="I12" s="9">
        <f>$E12-$H12</f>
        <v>14179920</v>
      </c>
    </row>
    <row r="13" spans="1:7" ht="12.75">
      <c r="A13" s="4" t="s">
        <v>93</v>
      </c>
      <c r="B13" s="4">
        <v>449603</v>
      </c>
      <c r="C13" s="4">
        <v>19</v>
      </c>
      <c r="D13" s="8" t="s">
        <v>94</v>
      </c>
      <c r="E13" s="9"/>
      <c r="F13" s="18">
        <f>+C13/B13</f>
        <v>4.226E-05</v>
      </c>
      <c r="G13" s="9">
        <f>ROUND(+$E$12*F13,0)</f>
        <v>603</v>
      </c>
    </row>
    <row r="14" spans="1:9" ht="12.75">
      <c r="A14" s="3" t="s">
        <v>95</v>
      </c>
      <c r="B14" s="19">
        <v>449603</v>
      </c>
      <c r="C14" s="3" t="s">
        <v>55</v>
      </c>
      <c r="D14" s="8" t="s">
        <v>96</v>
      </c>
      <c r="E14" s="9"/>
      <c r="F14" s="20">
        <v>0.00317</v>
      </c>
      <c r="G14" s="9">
        <f>ROUND(+$E$12*F14,0)</f>
        <v>45227</v>
      </c>
      <c r="I14" s="9"/>
    </row>
    <row r="15" spans="1:9" ht="12.75">
      <c r="A15" s="3" t="s">
        <v>97</v>
      </c>
      <c r="B15" s="19">
        <v>449603</v>
      </c>
      <c r="C15" s="19">
        <v>1075</v>
      </c>
      <c r="D15" s="8" t="s">
        <v>98</v>
      </c>
      <c r="E15" s="9"/>
      <c r="F15" s="20">
        <f>$C15/$B15</f>
        <v>0.002391</v>
      </c>
      <c r="G15" s="9">
        <f>ROUND(+$E$12*F15,0)</f>
        <v>34113</v>
      </c>
      <c r="I15" s="9"/>
    </row>
    <row r="16" spans="1:9" ht="12.75">
      <c r="A16" s="3" t="s">
        <v>252</v>
      </c>
      <c r="B16" s="19">
        <v>449603</v>
      </c>
      <c r="C16" s="19">
        <v>234</v>
      </c>
      <c r="D16" s="8" t="s">
        <v>98</v>
      </c>
      <c r="E16" s="9"/>
      <c r="F16" s="20">
        <f>$C16/$B16</f>
        <v>0.00052046</v>
      </c>
      <c r="G16" s="9">
        <f>ROUND(+$E$12*F16,0)</f>
        <v>7426</v>
      </c>
      <c r="I16" s="9"/>
    </row>
    <row r="17" spans="5:7" ht="12.75">
      <c r="E17" s="9"/>
      <c r="G17" s="9"/>
    </row>
    <row r="18" spans="1:9" ht="12.75">
      <c r="A18" s="3" t="s">
        <v>99</v>
      </c>
      <c r="E18" s="9">
        <f>States!C10</f>
        <v>9107131</v>
      </c>
      <c r="F18" s="20"/>
      <c r="H18" s="9">
        <f>SUM(G19:G26)</f>
        <v>1294000</v>
      </c>
      <c r="I18" s="9">
        <f>E18-H18</f>
        <v>7813131</v>
      </c>
    </row>
    <row r="19" spans="1:9" ht="12.75">
      <c r="A19" s="3" t="s">
        <v>100</v>
      </c>
      <c r="B19" s="19">
        <v>37808</v>
      </c>
      <c r="C19" s="21">
        <v>164</v>
      </c>
      <c r="D19" s="8" t="s">
        <v>132</v>
      </c>
      <c r="E19" s="9"/>
      <c r="F19" s="20">
        <f aca="true" t="shared" si="0" ref="F19:F26">C19/B19</f>
        <v>0.00433771</v>
      </c>
      <c r="G19" s="9">
        <f>ROUND(+F19*$E$18,0)</f>
        <v>39504</v>
      </c>
      <c r="I19" s="3" t="s">
        <v>55</v>
      </c>
    </row>
    <row r="20" spans="1:9" ht="12.75">
      <c r="A20" s="3" t="s">
        <v>101</v>
      </c>
      <c r="B20" s="19">
        <v>37808</v>
      </c>
      <c r="C20" s="21">
        <v>2029</v>
      </c>
      <c r="D20" s="8" t="s">
        <v>94</v>
      </c>
      <c r="E20" s="9"/>
      <c r="F20" s="20">
        <f t="shared" si="0"/>
        <v>0.05366589</v>
      </c>
      <c r="G20" s="9">
        <f aca="true" t="shared" si="1" ref="G20:G26">ROUND(+F20*$E$18,0)</f>
        <v>488742</v>
      </c>
      <c r="I20" s="3" t="s">
        <v>55</v>
      </c>
    </row>
    <row r="21" spans="1:11" ht="12.75">
      <c r="A21" s="3" t="s">
        <v>102</v>
      </c>
      <c r="B21" s="19">
        <v>37808</v>
      </c>
      <c r="C21" s="21">
        <v>111</v>
      </c>
      <c r="D21" s="8" t="s">
        <v>132</v>
      </c>
      <c r="E21" s="9"/>
      <c r="F21" s="20">
        <f t="shared" si="0"/>
        <v>0.00293589</v>
      </c>
      <c r="G21" s="9">
        <f t="shared" si="1"/>
        <v>26738</v>
      </c>
      <c r="K21" s="3" t="s">
        <v>55</v>
      </c>
    </row>
    <row r="22" spans="1:9" ht="12.75">
      <c r="A22" s="3" t="s">
        <v>103</v>
      </c>
      <c r="B22" s="19">
        <v>37808</v>
      </c>
      <c r="C22" s="21">
        <v>229</v>
      </c>
      <c r="D22" s="8" t="s">
        <v>94</v>
      </c>
      <c r="E22" s="9"/>
      <c r="F22" s="20">
        <f t="shared" si="0"/>
        <v>0.00605692</v>
      </c>
      <c r="G22" s="9">
        <f t="shared" si="1"/>
        <v>55161</v>
      </c>
      <c r="I22" s="3" t="s">
        <v>55</v>
      </c>
    </row>
    <row r="23" spans="1:7" ht="12.75">
      <c r="A23" s="3" t="s">
        <v>104</v>
      </c>
      <c r="B23" s="19">
        <v>37808</v>
      </c>
      <c r="C23" s="21">
        <v>275</v>
      </c>
      <c r="D23" s="8" t="s">
        <v>94</v>
      </c>
      <c r="E23" s="9"/>
      <c r="F23" s="20">
        <f t="shared" si="0"/>
        <v>0.00727359</v>
      </c>
      <c r="G23" s="9">
        <f t="shared" si="1"/>
        <v>66242</v>
      </c>
    </row>
    <row r="24" spans="1:7" ht="12.75">
      <c r="A24" s="3" t="s">
        <v>105</v>
      </c>
      <c r="B24" s="19">
        <v>37808</v>
      </c>
      <c r="C24" s="21">
        <v>8</v>
      </c>
      <c r="D24" s="8" t="s">
        <v>132</v>
      </c>
      <c r="E24" s="9"/>
      <c r="F24" s="20">
        <f t="shared" si="0"/>
        <v>0.0002116</v>
      </c>
      <c r="G24" s="9">
        <f t="shared" si="1"/>
        <v>1927</v>
      </c>
    </row>
    <row r="25" spans="1:7" ht="12.75">
      <c r="A25" s="3" t="s">
        <v>106</v>
      </c>
      <c r="B25" s="19">
        <v>37808</v>
      </c>
      <c r="C25" s="21">
        <v>1385</v>
      </c>
      <c r="D25" s="8" t="s">
        <v>94</v>
      </c>
      <c r="E25" s="9"/>
      <c r="F25" s="20">
        <f t="shared" si="0"/>
        <v>0.03663246</v>
      </c>
      <c r="G25" s="9">
        <f t="shared" si="1"/>
        <v>333617</v>
      </c>
    </row>
    <row r="26" spans="1:9" ht="12.75">
      <c r="A26" s="3" t="s">
        <v>107</v>
      </c>
      <c r="B26" s="19">
        <v>37808</v>
      </c>
      <c r="C26" s="21">
        <v>1171</v>
      </c>
      <c r="D26" s="8" t="s">
        <v>132</v>
      </c>
      <c r="E26" s="9"/>
      <c r="F26" s="20">
        <f t="shared" si="0"/>
        <v>0.03097228</v>
      </c>
      <c r="G26" s="9">
        <f t="shared" si="1"/>
        <v>282069</v>
      </c>
      <c r="I26" s="3" t="s">
        <v>55</v>
      </c>
    </row>
    <row r="28" spans="1:9" ht="12.75">
      <c r="A28" s="3" t="s">
        <v>5</v>
      </c>
      <c r="E28" s="9">
        <f>States!C11</f>
        <v>6899831</v>
      </c>
      <c r="F28" s="20">
        <f>SUM(F29:F37)</f>
        <v>0.07584085</v>
      </c>
      <c r="H28" s="9">
        <f>SUM(G29:G38)</f>
        <v>563459</v>
      </c>
      <c r="I28" s="9">
        <f>E28-H28</f>
        <v>6336372</v>
      </c>
    </row>
    <row r="29" spans="1:7" ht="12.75">
      <c r="A29" s="3" t="s">
        <v>108</v>
      </c>
      <c r="B29" s="19">
        <v>343522</v>
      </c>
      <c r="C29" s="21">
        <v>228</v>
      </c>
      <c r="D29" s="8" t="s">
        <v>98</v>
      </c>
      <c r="F29" s="20">
        <f>C29/B29</f>
        <v>0.00066371</v>
      </c>
      <c r="G29" s="9">
        <f>ROUND(+$E$28*F29,0)</f>
        <v>4579</v>
      </c>
    </row>
    <row r="30" spans="1:7" ht="12.75">
      <c r="A30" s="3" t="s">
        <v>109</v>
      </c>
      <c r="B30" s="19">
        <v>343522</v>
      </c>
      <c r="C30" s="21">
        <v>680</v>
      </c>
      <c r="D30" s="8" t="s">
        <v>98</v>
      </c>
      <c r="E30" s="9"/>
      <c r="F30" s="20">
        <f>C30/B30</f>
        <v>0.00197949</v>
      </c>
      <c r="G30" s="9">
        <f aca="true" t="shared" si="2" ref="G30:G38">ROUND(+$E$28*F30,0)</f>
        <v>13658</v>
      </c>
    </row>
    <row r="31" spans="1:7" ht="12.75">
      <c r="A31" s="3" t="s">
        <v>282</v>
      </c>
      <c r="B31" s="19">
        <v>343522</v>
      </c>
      <c r="C31" s="21">
        <v>142</v>
      </c>
      <c r="D31" s="8" t="s">
        <v>98</v>
      </c>
      <c r="E31" s="9"/>
      <c r="F31" s="20">
        <f>C31/B31</f>
        <v>0.00041337</v>
      </c>
      <c r="G31" s="9">
        <f t="shared" si="2"/>
        <v>2852</v>
      </c>
    </row>
    <row r="32" spans="1:7" ht="12.75">
      <c r="A32" s="3" t="s">
        <v>110</v>
      </c>
      <c r="B32" s="19">
        <v>343522</v>
      </c>
      <c r="C32" s="21">
        <v>2301</v>
      </c>
      <c r="D32" s="8" t="s">
        <v>98</v>
      </c>
      <c r="E32" s="9"/>
      <c r="F32" s="20">
        <f aca="true" t="shared" si="3" ref="F32:F37">C32/B32</f>
        <v>0.00669826</v>
      </c>
      <c r="G32" s="9">
        <f t="shared" si="2"/>
        <v>46217</v>
      </c>
    </row>
    <row r="33" spans="1:7" ht="12.75">
      <c r="A33" s="3" t="s">
        <v>111</v>
      </c>
      <c r="B33" s="19">
        <v>343522</v>
      </c>
      <c r="C33" s="21">
        <v>19524</v>
      </c>
      <c r="D33" s="8" t="s">
        <v>98</v>
      </c>
      <c r="E33" s="9"/>
      <c r="F33" s="20">
        <f t="shared" si="3"/>
        <v>0.05683479</v>
      </c>
      <c r="G33" s="9">
        <f t="shared" si="2"/>
        <v>392150</v>
      </c>
    </row>
    <row r="34" spans="1:7" ht="12.75">
      <c r="A34" s="3" t="s">
        <v>112</v>
      </c>
      <c r="B34" s="19">
        <v>343522</v>
      </c>
      <c r="C34" s="21">
        <v>879</v>
      </c>
      <c r="D34" s="8" t="s">
        <v>98</v>
      </c>
      <c r="E34" s="9"/>
      <c r="F34" s="20">
        <f t="shared" si="3"/>
        <v>0.00255879</v>
      </c>
      <c r="G34" s="9">
        <f t="shared" si="2"/>
        <v>17655</v>
      </c>
    </row>
    <row r="35" spans="1:7" ht="12.75">
      <c r="A35" s="3" t="s">
        <v>253</v>
      </c>
      <c r="B35" s="19">
        <v>343522</v>
      </c>
      <c r="C35" s="21">
        <v>50</v>
      </c>
      <c r="D35" s="8" t="s">
        <v>98</v>
      </c>
      <c r="E35" s="9"/>
      <c r="F35" s="20">
        <f t="shared" si="3"/>
        <v>0.00014555</v>
      </c>
      <c r="G35" s="9">
        <f t="shared" si="2"/>
        <v>1004</v>
      </c>
    </row>
    <row r="36" spans="1:7" ht="12.75">
      <c r="A36" s="3" t="s">
        <v>221</v>
      </c>
      <c r="B36" s="19">
        <v>343522</v>
      </c>
      <c r="C36" s="21">
        <v>849</v>
      </c>
      <c r="D36" s="8" t="s">
        <v>98</v>
      </c>
      <c r="E36" s="9"/>
      <c r="F36" s="20">
        <f t="shared" si="3"/>
        <v>0.00247146</v>
      </c>
      <c r="G36" s="9">
        <f t="shared" si="2"/>
        <v>17053</v>
      </c>
    </row>
    <row r="37" spans="1:7" ht="12.75">
      <c r="A37" s="3" t="s">
        <v>113</v>
      </c>
      <c r="B37" s="19">
        <v>343522</v>
      </c>
      <c r="C37" s="21">
        <v>1400</v>
      </c>
      <c r="D37" s="8" t="s">
        <v>98</v>
      </c>
      <c r="F37" s="20">
        <f t="shared" si="3"/>
        <v>0.00407543</v>
      </c>
      <c r="G37" s="9">
        <f t="shared" si="2"/>
        <v>28120</v>
      </c>
    </row>
    <row r="38" spans="1:7" ht="12.75">
      <c r="A38" s="3" t="s">
        <v>225</v>
      </c>
      <c r="B38" s="19">
        <v>343522</v>
      </c>
      <c r="C38" s="21">
        <v>2000</v>
      </c>
      <c r="D38" s="8" t="s">
        <v>98</v>
      </c>
      <c r="F38" s="20">
        <f>C38/B38</f>
        <v>0.00582204</v>
      </c>
      <c r="G38" s="9">
        <f t="shared" si="2"/>
        <v>40171</v>
      </c>
    </row>
    <row r="39" spans="1:7" ht="12.75">
      <c r="A39" s="3"/>
      <c r="B39" s="19"/>
      <c r="C39" s="22"/>
      <c r="D39" s="8"/>
      <c r="E39" s="9"/>
      <c r="F39" s="20"/>
      <c r="G39" s="9"/>
    </row>
    <row r="40" spans="1:7" ht="12.75">
      <c r="A40" s="3"/>
      <c r="B40" s="19"/>
      <c r="C40" s="22"/>
      <c r="D40" s="8"/>
      <c r="E40" s="9"/>
      <c r="F40" s="20"/>
      <c r="G40" s="9"/>
    </row>
    <row r="41" spans="1:10" ht="12.75">
      <c r="A41" s="3" t="s">
        <v>251</v>
      </c>
      <c r="H41" s="4" t="s">
        <v>247</v>
      </c>
      <c r="J41" s="3" t="s">
        <v>55</v>
      </c>
    </row>
    <row r="42" spans="1:8" ht="12.75">
      <c r="A42" s="32" t="s">
        <v>286</v>
      </c>
      <c r="C42" s="3" t="s">
        <v>66</v>
      </c>
      <c r="F42" s="23"/>
      <c r="H42" s="17" t="s">
        <v>55</v>
      </c>
    </row>
    <row r="43" spans="1:8" ht="12.75">
      <c r="A43" s="38" t="s">
        <v>287</v>
      </c>
      <c r="G43" s="8" t="s">
        <v>75</v>
      </c>
      <c r="H43" s="8" t="s">
        <v>76</v>
      </c>
    </row>
    <row r="44" spans="2:9" ht="12.75">
      <c r="B44" s="8" t="s">
        <v>77</v>
      </c>
      <c r="C44" s="8" t="s">
        <v>78</v>
      </c>
      <c r="E44" s="8" t="s">
        <v>79</v>
      </c>
      <c r="F44" s="8" t="s">
        <v>80</v>
      </c>
      <c r="G44" s="8" t="s">
        <v>81</v>
      </c>
      <c r="H44" s="8" t="s">
        <v>82</v>
      </c>
      <c r="I44" s="8" t="s">
        <v>83</v>
      </c>
    </row>
    <row r="45" spans="1:9" ht="12.75">
      <c r="A45" s="8" t="s">
        <v>84</v>
      </c>
      <c r="B45" s="8" t="s">
        <v>85</v>
      </c>
      <c r="C45" s="8" t="s">
        <v>86</v>
      </c>
      <c r="D45" s="8" t="s">
        <v>87</v>
      </c>
      <c r="E45" s="8" t="s">
        <v>88</v>
      </c>
      <c r="F45" s="8" t="s">
        <v>89</v>
      </c>
      <c r="G45" s="8" t="s">
        <v>90</v>
      </c>
      <c r="H45" s="8" t="s">
        <v>91</v>
      </c>
      <c r="I45" s="8" t="s">
        <v>92</v>
      </c>
    </row>
    <row r="47" spans="1:9" ht="12.75">
      <c r="A47" s="3" t="s">
        <v>114</v>
      </c>
      <c r="E47" s="9">
        <f>States!C13</f>
        <v>76539853</v>
      </c>
      <c r="F47" s="20">
        <f>SUM(F48:F72)</f>
        <v>0.00709454</v>
      </c>
      <c r="H47" s="9">
        <f>SUM(G48:G72)</f>
        <v>543013</v>
      </c>
      <c r="I47" s="9">
        <f>E47-H47</f>
        <v>75996840</v>
      </c>
    </row>
    <row r="48" spans="1:9" ht="12.75">
      <c r="A48" s="3" t="s">
        <v>115</v>
      </c>
      <c r="B48" s="19">
        <v>1659723</v>
      </c>
      <c r="C48" s="21">
        <v>130</v>
      </c>
      <c r="D48" s="8" t="s">
        <v>98</v>
      </c>
      <c r="E48" s="9"/>
      <c r="F48" s="20">
        <f aca="true" t="shared" si="4" ref="F48:F67">C48/B48</f>
        <v>7.833E-05</v>
      </c>
      <c r="G48" s="9">
        <f>ROUND(+$E$47*F48,0)</f>
        <v>5995</v>
      </c>
      <c r="I48" s="9"/>
    </row>
    <row r="49" spans="1:7" ht="12.75">
      <c r="A49" s="3" t="s">
        <v>116</v>
      </c>
      <c r="B49" s="19">
        <v>1659723</v>
      </c>
      <c r="C49" s="21">
        <v>24</v>
      </c>
      <c r="D49" s="8" t="s">
        <v>98</v>
      </c>
      <c r="E49" s="9"/>
      <c r="F49" s="20">
        <f t="shared" si="4"/>
        <v>1.446E-05</v>
      </c>
      <c r="G49" s="9">
        <f aca="true" t="shared" si="5" ref="G49:G72">ROUND(+$E$47*F49,0)</f>
        <v>1107</v>
      </c>
    </row>
    <row r="50" spans="1:9" ht="12.75">
      <c r="A50" s="3" t="s">
        <v>117</v>
      </c>
      <c r="B50" s="19">
        <v>1659723</v>
      </c>
      <c r="C50" s="21">
        <v>108</v>
      </c>
      <c r="D50" s="8" t="s">
        <v>98</v>
      </c>
      <c r="E50" s="9"/>
      <c r="F50" s="20">
        <f t="shared" si="4"/>
        <v>6.507E-05</v>
      </c>
      <c r="G50" s="9">
        <f t="shared" si="5"/>
        <v>4980</v>
      </c>
      <c r="I50" s="9"/>
    </row>
    <row r="51" spans="1:7" ht="12.75">
      <c r="A51" s="3" t="s">
        <v>118</v>
      </c>
      <c r="B51" s="19">
        <v>1659723</v>
      </c>
      <c r="C51" s="21">
        <v>50</v>
      </c>
      <c r="D51" s="8" t="s">
        <v>98</v>
      </c>
      <c r="F51" s="20">
        <f t="shared" si="4"/>
        <v>3.013E-05</v>
      </c>
      <c r="G51" s="9">
        <f t="shared" si="5"/>
        <v>2306</v>
      </c>
    </row>
    <row r="52" spans="1:7" ht="12.75">
      <c r="A52" s="3" t="s">
        <v>119</v>
      </c>
      <c r="B52" s="19">
        <v>1659723</v>
      </c>
      <c r="C52" s="21">
        <v>896</v>
      </c>
      <c r="D52" s="8" t="s">
        <v>98</v>
      </c>
      <c r="E52" s="9"/>
      <c r="F52" s="20">
        <f>C52/B52</f>
        <v>0.00053985</v>
      </c>
      <c r="G52" s="9">
        <f t="shared" si="5"/>
        <v>41320</v>
      </c>
    </row>
    <row r="53" spans="1:7" ht="12.75">
      <c r="A53" s="3" t="s">
        <v>226</v>
      </c>
      <c r="B53" s="19">
        <v>1659723</v>
      </c>
      <c r="C53" s="21">
        <v>136</v>
      </c>
      <c r="D53" s="8" t="s">
        <v>98</v>
      </c>
      <c r="F53" s="20">
        <f>C53/B53</f>
        <v>8.194E-05</v>
      </c>
      <c r="G53" s="9">
        <f t="shared" si="5"/>
        <v>6272</v>
      </c>
    </row>
    <row r="54" spans="1:9" ht="12.75">
      <c r="A54" s="3" t="s">
        <v>120</v>
      </c>
      <c r="B54" s="19">
        <v>1659723</v>
      </c>
      <c r="C54" s="21">
        <v>838</v>
      </c>
      <c r="D54" s="8" t="s">
        <v>98</v>
      </c>
      <c r="E54" s="9"/>
      <c r="F54" s="20">
        <f t="shared" si="4"/>
        <v>0.0005049</v>
      </c>
      <c r="G54" s="9">
        <f t="shared" si="5"/>
        <v>38645</v>
      </c>
      <c r="I54" s="9"/>
    </row>
    <row r="55" spans="1:9" ht="12.75">
      <c r="A55" s="3" t="s">
        <v>121</v>
      </c>
      <c r="B55" s="19">
        <v>1659723</v>
      </c>
      <c r="C55" s="21">
        <v>650</v>
      </c>
      <c r="D55" s="8" t="s">
        <v>98</v>
      </c>
      <c r="E55" s="9"/>
      <c r="F55" s="20">
        <f t="shared" si="4"/>
        <v>0.00039163</v>
      </c>
      <c r="G55" s="9">
        <f t="shared" si="5"/>
        <v>29975</v>
      </c>
      <c r="I55" s="9"/>
    </row>
    <row r="56" spans="1:9" ht="12.75">
      <c r="A56" s="3" t="s">
        <v>122</v>
      </c>
      <c r="B56" s="19">
        <v>1659723</v>
      </c>
      <c r="C56" s="21">
        <v>371</v>
      </c>
      <c r="D56" s="8" t="s">
        <v>98</v>
      </c>
      <c r="E56" s="9"/>
      <c r="F56" s="20">
        <f t="shared" si="4"/>
        <v>0.00022353</v>
      </c>
      <c r="G56" s="9">
        <f t="shared" si="5"/>
        <v>17109</v>
      </c>
      <c r="I56" s="9"/>
    </row>
    <row r="57" spans="1:11" ht="12.75">
      <c r="A57" s="3" t="s">
        <v>224</v>
      </c>
      <c r="B57" s="19">
        <v>1659723</v>
      </c>
      <c r="C57" s="21">
        <v>2785</v>
      </c>
      <c r="D57" s="8" t="s">
        <v>98</v>
      </c>
      <c r="E57" s="9"/>
      <c r="F57" s="20">
        <f>C57/B57</f>
        <v>0.00167799</v>
      </c>
      <c r="G57" s="9">
        <f t="shared" si="5"/>
        <v>128433</v>
      </c>
      <c r="I57" s="9"/>
      <c r="K57" s="18"/>
    </row>
    <row r="58" spans="1:7" ht="12.75">
      <c r="A58" s="3" t="s">
        <v>123</v>
      </c>
      <c r="B58" s="19">
        <v>1659723</v>
      </c>
      <c r="C58" s="21">
        <v>82</v>
      </c>
      <c r="D58" s="8" t="s">
        <v>96</v>
      </c>
      <c r="E58" s="9"/>
      <c r="F58" s="20">
        <v>0.0001</v>
      </c>
      <c r="G58" s="9">
        <f t="shared" si="5"/>
        <v>7654</v>
      </c>
    </row>
    <row r="59" spans="1:9" ht="12.75">
      <c r="A59" s="3" t="s">
        <v>124</v>
      </c>
      <c r="B59" s="19">
        <v>1659723</v>
      </c>
      <c r="C59" s="21">
        <v>779</v>
      </c>
      <c r="D59" s="8" t="s">
        <v>98</v>
      </c>
      <c r="E59" s="9"/>
      <c r="F59" s="20">
        <f>C59/B59</f>
        <v>0.00046936</v>
      </c>
      <c r="G59" s="9">
        <f t="shared" si="5"/>
        <v>35925</v>
      </c>
      <c r="I59" s="9"/>
    </row>
    <row r="60" spans="1:9" ht="12.75">
      <c r="A60" s="3" t="s">
        <v>242</v>
      </c>
      <c r="B60" s="19">
        <v>1659723</v>
      </c>
      <c r="C60" s="21">
        <v>78</v>
      </c>
      <c r="D60" s="8" t="s">
        <v>98</v>
      </c>
      <c r="E60" s="9"/>
      <c r="F60" s="20">
        <f>C60/B60</f>
        <v>4.7E-05</v>
      </c>
      <c r="G60" s="9">
        <f t="shared" si="5"/>
        <v>3597</v>
      </c>
      <c r="I60" s="9"/>
    </row>
    <row r="61" spans="1:7" ht="12.75">
      <c r="A61" s="3" t="s">
        <v>125</v>
      </c>
      <c r="B61" s="19">
        <v>1659723</v>
      </c>
      <c r="C61" s="21">
        <v>375</v>
      </c>
      <c r="D61" s="8" t="s">
        <v>98</v>
      </c>
      <c r="E61" s="9"/>
      <c r="F61" s="20">
        <f t="shared" si="4"/>
        <v>0.00022594</v>
      </c>
      <c r="G61" s="9">
        <f t="shared" si="5"/>
        <v>17293</v>
      </c>
    </row>
    <row r="62" spans="1:7" ht="12.75">
      <c r="A62" s="3" t="s">
        <v>126</v>
      </c>
      <c r="B62" s="19">
        <v>1659723</v>
      </c>
      <c r="C62" s="21">
        <v>962</v>
      </c>
      <c r="D62" s="8" t="s">
        <v>98</v>
      </c>
      <c r="E62" s="9"/>
      <c r="F62" s="20">
        <f t="shared" si="4"/>
        <v>0.00057961</v>
      </c>
      <c r="G62" s="9">
        <f t="shared" si="5"/>
        <v>44363</v>
      </c>
    </row>
    <row r="63" spans="1:7" ht="12.75">
      <c r="A63" s="3" t="s">
        <v>222</v>
      </c>
      <c r="B63" s="19">
        <v>1659723</v>
      </c>
      <c r="C63" s="21">
        <v>44</v>
      </c>
      <c r="D63" s="8" t="s">
        <v>98</v>
      </c>
      <c r="E63" s="9"/>
      <c r="F63" s="20">
        <f>C63/B63</f>
        <v>2.651E-05</v>
      </c>
      <c r="G63" s="9">
        <f t="shared" si="5"/>
        <v>2029</v>
      </c>
    </row>
    <row r="64" spans="1:9" ht="12.75">
      <c r="A64" s="3" t="s">
        <v>127</v>
      </c>
      <c r="B64" s="19">
        <v>1659723</v>
      </c>
      <c r="C64" s="21">
        <v>310</v>
      </c>
      <c r="D64" s="8" t="s">
        <v>98</v>
      </c>
      <c r="E64" s="9"/>
      <c r="F64" s="20">
        <f t="shared" si="4"/>
        <v>0.00018678</v>
      </c>
      <c r="G64" s="9">
        <f t="shared" si="5"/>
        <v>14296</v>
      </c>
      <c r="I64" s="9"/>
    </row>
    <row r="65" spans="1:9" ht="12.75">
      <c r="A65" s="3" t="s">
        <v>128</v>
      </c>
      <c r="B65" s="19">
        <v>1659723</v>
      </c>
      <c r="C65" s="21">
        <v>894</v>
      </c>
      <c r="D65" s="8" t="s">
        <v>98</v>
      </c>
      <c r="E65" s="9"/>
      <c r="F65" s="20">
        <f t="shared" si="4"/>
        <v>0.00053864</v>
      </c>
      <c r="G65" s="9">
        <f t="shared" si="5"/>
        <v>41227</v>
      </c>
      <c r="I65" s="9"/>
    </row>
    <row r="66" spans="1:7" ht="12.75">
      <c r="A66" s="3" t="s">
        <v>254</v>
      </c>
      <c r="B66" s="19">
        <v>1659723</v>
      </c>
      <c r="C66" s="21">
        <v>575</v>
      </c>
      <c r="D66" s="8" t="s">
        <v>98</v>
      </c>
      <c r="E66" s="9"/>
      <c r="F66" s="20">
        <f t="shared" si="4"/>
        <v>0.00034644</v>
      </c>
      <c r="G66" s="9">
        <f t="shared" si="5"/>
        <v>26516</v>
      </c>
    </row>
    <row r="67" spans="1:7" ht="12.75">
      <c r="A67" s="3" t="s">
        <v>262</v>
      </c>
      <c r="B67" s="19">
        <v>1659723</v>
      </c>
      <c r="C67" s="21">
        <v>66</v>
      </c>
      <c r="D67" s="8" t="s">
        <v>98</v>
      </c>
      <c r="E67" s="9"/>
      <c r="F67" s="20">
        <f t="shared" si="4"/>
        <v>3.977E-05</v>
      </c>
      <c r="G67" s="9">
        <f t="shared" si="5"/>
        <v>3044</v>
      </c>
    </row>
    <row r="68" spans="1:9" ht="12.75">
      <c r="A68" s="3" t="s">
        <v>129</v>
      </c>
      <c r="B68" s="19">
        <v>1659723</v>
      </c>
      <c r="C68" s="21">
        <v>146</v>
      </c>
      <c r="D68" s="8" t="s">
        <v>98</v>
      </c>
      <c r="E68" s="9"/>
      <c r="F68" s="20">
        <f>C68/B68</f>
        <v>8.797E-05</v>
      </c>
      <c r="G68" s="9">
        <f t="shared" si="5"/>
        <v>6733</v>
      </c>
      <c r="I68" s="9"/>
    </row>
    <row r="69" spans="1:7" ht="12.75">
      <c r="A69" s="3" t="s">
        <v>130</v>
      </c>
      <c r="B69" s="19">
        <v>1659723</v>
      </c>
      <c r="C69" s="21">
        <v>101</v>
      </c>
      <c r="D69" s="8" t="s">
        <v>98</v>
      </c>
      <c r="E69" s="9"/>
      <c r="F69" s="20">
        <f>C69/B69</f>
        <v>6.085E-05</v>
      </c>
      <c r="G69" s="9">
        <f t="shared" si="5"/>
        <v>4657</v>
      </c>
    </row>
    <row r="70" spans="1:7" ht="12.75">
      <c r="A70" s="3" t="s">
        <v>255</v>
      </c>
      <c r="B70" s="19">
        <v>1659723</v>
      </c>
      <c r="C70" s="21">
        <v>85</v>
      </c>
      <c r="D70" s="8" t="s">
        <v>98</v>
      </c>
      <c r="E70" s="9"/>
      <c r="F70" s="20">
        <f>C70/B70</f>
        <v>5.121E-05</v>
      </c>
      <c r="G70" s="9">
        <f t="shared" si="5"/>
        <v>3920</v>
      </c>
    </row>
    <row r="71" spans="1:9" ht="12.75">
      <c r="A71" s="3" t="s">
        <v>243</v>
      </c>
      <c r="B71" s="19">
        <v>1659723</v>
      </c>
      <c r="C71" s="21">
        <v>40</v>
      </c>
      <c r="D71" s="8" t="s">
        <v>98</v>
      </c>
      <c r="E71" s="9"/>
      <c r="F71" s="20">
        <f>C71/B71</f>
        <v>2.41E-05</v>
      </c>
      <c r="G71" s="9">
        <f t="shared" si="5"/>
        <v>1845</v>
      </c>
      <c r="I71" s="9"/>
    </row>
    <row r="72" spans="1:7" ht="12.75">
      <c r="A72" s="3" t="s">
        <v>131</v>
      </c>
      <c r="B72" s="19">
        <v>1659723</v>
      </c>
      <c r="C72" s="21">
        <v>1166</v>
      </c>
      <c r="D72" s="8" t="s">
        <v>98</v>
      </c>
      <c r="E72" s="9"/>
      <c r="F72" s="20">
        <f>C72/B72</f>
        <v>0.00070253</v>
      </c>
      <c r="G72" s="9">
        <f t="shared" si="5"/>
        <v>53772</v>
      </c>
    </row>
    <row r="73" spans="1:7" ht="12.75">
      <c r="A73" s="3"/>
      <c r="B73" s="19"/>
      <c r="C73" s="21"/>
      <c r="D73" s="8"/>
      <c r="E73" s="9"/>
      <c r="F73" s="20"/>
      <c r="G73" s="9"/>
    </row>
    <row r="74" spans="1:9" ht="12.75">
      <c r="A74" s="3" t="s">
        <v>8</v>
      </c>
      <c r="B74" s="19"/>
      <c r="C74" s="21"/>
      <c r="D74" s="8"/>
      <c r="E74" s="9">
        <f>States!C14</f>
        <v>26687062</v>
      </c>
      <c r="F74" s="20"/>
      <c r="G74" s="9"/>
      <c r="H74" s="12">
        <f>G75</f>
        <v>25000</v>
      </c>
      <c r="I74" s="9">
        <f>$E74-$H74</f>
        <v>26662062</v>
      </c>
    </row>
    <row r="75" spans="1:7" ht="12.75">
      <c r="A75" s="4" t="s">
        <v>259</v>
      </c>
      <c r="B75" s="4">
        <v>303357</v>
      </c>
      <c r="C75" s="4">
        <v>165</v>
      </c>
      <c r="D75" s="2" t="s">
        <v>132</v>
      </c>
      <c r="F75" s="20">
        <f>C75/B75</f>
        <v>0.00054391</v>
      </c>
      <c r="G75" s="9">
        <f>25000</f>
        <v>25000</v>
      </c>
    </row>
    <row r="76" spans="1:7" ht="12.75">
      <c r="A76" s="3"/>
      <c r="B76" s="19"/>
      <c r="C76" s="21"/>
      <c r="D76" s="8"/>
      <c r="E76" s="9"/>
      <c r="F76" s="20"/>
      <c r="G76" s="9"/>
    </row>
    <row r="77" spans="1:9" ht="12.75">
      <c r="A77" s="3" t="s">
        <v>12</v>
      </c>
      <c r="E77" s="9">
        <f>States!C18</f>
        <v>22575112</v>
      </c>
      <c r="H77" s="9">
        <f>G78</f>
        <v>5787</v>
      </c>
      <c r="I77" s="9">
        <f>$E77-$H77</f>
        <v>22569325</v>
      </c>
    </row>
    <row r="78" spans="1:9" ht="12.75">
      <c r="A78" s="3" t="s">
        <v>133</v>
      </c>
      <c r="B78" s="19">
        <v>1205419</v>
      </c>
      <c r="C78" s="19">
        <v>309</v>
      </c>
      <c r="D78" s="8" t="s">
        <v>98</v>
      </c>
      <c r="E78" s="9"/>
      <c r="F78" s="20">
        <f>$C78/$B78</f>
        <v>0.00025634</v>
      </c>
      <c r="G78" s="9">
        <f>ROUND(+$E$77*F78,0)</f>
        <v>5787</v>
      </c>
      <c r="I78" s="9"/>
    </row>
    <row r="79" ht="12.75">
      <c r="I79" s="9"/>
    </row>
    <row r="80" spans="1:9" ht="12.75">
      <c r="A80" s="3" t="s">
        <v>15</v>
      </c>
      <c r="D80" s="3" t="s">
        <v>55</v>
      </c>
      <c r="E80" s="9">
        <f>States!C21</f>
        <v>10409732</v>
      </c>
      <c r="F80" s="20">
        <f>SUM(F82:F83)</f>
        <v>0.0164</v>
      </c>
      <c r="H80" s="9">
        <f>SUM(G81:G83)</f>
        <v>184715</v>
      </c>
      <c r="I80" s="9">
        <f>E80-H80</f>
        <v>10225017</v>
      </c>
    </row>
    <row r="81" spans="1:9" ht="12.75">
      <c r="A81" s="3" t="s">
        <v>263</v>
      </c>
      <c r="B81" s="19">
        <v>84047</v>
      </c>
      <c r="C81" s="4">
        <v>113</v>
      </c>
      <c r="D81" s="8" t="s">
        <v>94</v>
      </c>
      <c r="E81" s="9"/>
      <c r="F81" s="20">
        <f>$C81/$B81</f>
        <v>0.00134449</v>
      </c>
      <c r="G81" s="9">
        <f>ROUND(+$E$80*F81,0)</f>
        <v>13996</v>
      </c>
      <c r="H81" s="9"/>
      <c r="I81" s="9"/>
    </row>
    <row r="82" spans="1:9" ht="12.75">
      <c r="A82" s="3" t="s">
        <v>134</v>
      </c>
      <c r="B82" s="19">
        <v>84047</v>
      </c>
      <c r="C82" s="19">
        <v>593</v>
      </c>
      <c r="D82" s="8" t="s">
        <v>96</v>
      </c>
      <c r="E82" s="9"/>
      <c r="F82" s="24">
        <v>0.007</v>
      </c>
      <c r="G82" s="9">
        <f>ROUND(+$E$80*F82,0)</f>
        <v>72868</v>
      </c>
      <c r="I82" s="9"/>
    </row>
    <row r="83" spans="1:9" ht="12.75">
      <c r="A83" s="3" t="s">
        <v>135</v>
      </c>
      <c r="B83" s="19">
        <v>84047</v>
      </c>
      <c r="C83" s="19">
        <v>796</v>
      </c>
      <c r="D83" s="8" t="s">
        <v>96</v>
      </c>
      <c r="E83" s="9"/>
      <c r="F83" s="24">
        <v>0.0094</v>
      </c>
      <c r="G83" s="9">
        <f>ROUND(+$E$80*F83,0)</f>
        <v>97851</v>
      </c>
      <c r="I83" s="9"/>
    </row>
    <row r="85" spans="1:9" ht="12.75">
      <c r="A85" s="3" t="s">
        <v>17</v>
      </c>
      <c r="E85" s="9">
        <f>States!C23</f>
        <v>43628979</v>
      </c>
      <c r="H85" s="9">
        <f>G86</f>
        <v>6664</v>
      </c>
      <c r="I85" s="9">
        <f>E85-H85</f>
        <v>43622315</v>
      </c>
    </row>
    <row r="86" spans="1:9" ht="12.75">
      <c r="A86" s="3" t="s">
        <v>136</v>
      </c>
      <c r="B86" s="19">
        <v>434091</v>
      </c>
      <c r="C86" s="19">
        <v>0</v>
      </c>
      <c r="D86" s="8" t="s">
        <v>132</v>
      </c>
      <c r="F86" s="20">
        <f>$C86/$B86</f>
        <v>0</v>
      </c>
      <c r="G86" s="9">
        <f>6664</f>
        <v>6664</v>
      </c>
      <c r="I86" s="9"/>
    </row>
    <row r="88" spans="1:10" ht="12.75">
      <c r="A88" s="3" t="s">
        <v>251</v>
      </c>
      <c r="H88" s="4" t="s">
        <v>248</v>
      </c>
      <c r="J88" s="3" t="s">
        <v>55</v>
      </c>
    </row>
    <row r="89" spans="1:8" ht="12.75">
      <c r="A89" s="32" t="s">
        <v>286</v>
      </c>
      <c r="C89" s="3" t="s">
        <v>66</v>
      </c>
      <c r="F89" s="23"/>
      <c r="H89" s="17" t="s">
        <v>55</v>
      </c>
    </row>
    <row r="90" spans="1:8" ht="12.75">
      <c r="A90" s="38" t="s">
        <v>287</v>
      </c>
      <c r="G90" s="8" t="s">
        <v>75</v>
      </c>
      <c r="H90" s="8" t="s">
        <v>76</v>
      </c>
    </row>
    <row r="91" spans="2:9" ht="12.75">
      <c r="B91" s="8" t="s">
        <v>77</v>
      </c>
      <c r="C91" s="8" t="s">
        <v>78</v>
      </c>
      <c r="E91" s="8" t="s">
        <v>79</v>
      </c>
      <c r="F91" s="8" t="s">
        <v>80</v>
      </c>
      <c r="G91" s="8" t="s">
        <v>81</v>
      </c>
      <c r="H91" s="8" t="s">
        <v>82</v>
      </c>
      <c r="I91" s="8" t="s">
        <v>83</v>
      </c>
    </row>
    <row r="92" spans="1:9" ht="12.75">
      <c r="A92" s="8" t="s">
        <v>84</v>
      </c>
      <c r="B92" s="8" t="s">
        <v>85</v>
      </c>
      <c r="C92" s="8" t="s">
        <v>86</v>
      </c>
      <c r="D92" s="8" t="s">
        <v>87</v>
      </c>
      <c r="E92" s="8" t="s">
        <v>88</v>
      </c>
      <c r="F92" s="8" t="s">
        <v>89</v>
      </c>
      <c r="G92" s="8" t="s">
        <v>90</v>
      </c>
      <c r="H92" s="8" t="s">
        <v>91</v>
      </c>
      <c r="I92" s="8" t="s">
        <v>92</v>
      </c>
    </row>
    <row r="93" ht="12.75">
      <c r="I93" s="9"/>
    </row>
    <row r="94" spans="1:9" ht="12.75">
      <c r="A94" s="3" t="s">
        <v>19</v>
      </c>
      <c r="D94" s="3" t="s">
        <v>55</v>
      </c>
      <c r="E94" s="9">
        <f>States!C25</f>
        <v>14200054</v>
      </c>
      <c r="F94" s="24"/>
      <c r="H94" s="9">
        <f>G95</f>
        <v>10175</v>
      </c>
      <c r="I94" s="9">
        <f>$E94-$H94</f>
        <v>14189879</v>
      </c>
    </row>
    <row r="95" spans="1:9" ht="12.75">
      <c r="A95" s="3" t="s">
        <v>137</v>
      </c>
      <c r="B95" s="19">
        <v>222152</v>
      </c>
      <c r="C95" s="19">
        <v>20</v>
      </c>
      <c r="D95" s="8" t="s">
        <v>132</v>
      </c>
      <c r="E95" s="9"/>
      <c r="F95" s="25">
        <f>C95/B95</f>
        <v>9.003E-05</v>
      </c>
      <c r="G95" s="9">
        <f>10175</f>
        <v>10175</v>
      </c>
      <c r="I95" s="9"/>
    </row>
    <row r="96" ht="12.75">
      <c r="I96" s="9"/>
    </row>
    <row r="97" spans="1:9" ht="12.75">
      <c r="A97" s="3" t="s">
        <v>22</v>
      </c>
      <c r="E97" s="9">
        <f>States!C28</f>
        <v>22554061</v>
      </c>
      <c r="H97" s="9">
        <f>SUM(G98:G102)</f>
        <v>824351</v>
      </c>
      <c r="I97" s="9">
        <f>SUM(E97-H97)</f>
        <v>21729710</v>
      </c>
    </row>
    <row r="98" spans="1:9" ht="12.75">
      <c r="A98" s="3" t="s">
        <v>138</v>
      </c>
      <c r="B98" s="19">
        <v>100697</v>
      </c>
      <c r="D98" s="8" t="s">
        <v>96</v>
      </c>
      <c r="F98" s="20">
        <v>0.00435</v>
      </c>
      <c r="G98" s="9">
        <f>ROUND(+$E$97*$F98,0)</f>
        <v>98110</v>
      </c>
      <c r="I98" s="9"/>
    </row>
    <row r="99" spans="1:9" ht="12.75">
      <c r="A99" s="3" t="s">
        <v>139</v>
      </c>
      <c r="B99" s="19">
        <v>100697</v>
      </c>
      <c r="D99" s="8" t="s">
        <v>96</v>
      </c>
      <c r="E99" s="9"/>
      <c r="F99" s="20">
        <v>0.00435</v>
      </c>
      <c r="G99" s="9">
        <f>ROUND(+$E$97*$F99,0)</f>
        <v>98110</v>
      </c>
      <c r="I99" s="9"/>
    </row>
    <row r="100" spans="1:9" ht="12.75">
      <c r="A100" s="3" t="s">
        <v>140</v>
      </c>
      <c r="B100" s="19">
        <v>100697</v>
      </c>
      <c r="C100" s="19">
        <v>83</v>
      </c>
      <c r="D100" s="8" t="s">
        <v>96</v>
      </c>
      <c r="E100" s="9"/>
      <c r="F100" s="20">
        <v>0.0083</v>
      </c>
      <c r="G100" s="9">
        <f>ROUND(+$E$97*$F100,0)</f>
        <v>187199</v>
      </c>
      <c r="I100" s="9"/>
    </row>
    <row r="101" spans="1:9" ht="12.75">
      <c r="A101" s="3" t="s">
        <v>141</v>
      </c>
      <c r="B101" s="19">
        <v>100697</v>
      </c>
      <c r="C101" s="19">
        <v>69</v>
      </c>
      <c r="D101" s="8" t="s">
        <v>96</v>
      </c>
      <c r="E101" s="9"/>
      <c r="F101" s="20">
        <v>0.01158</v>
      </c>
      <c r="G101" s="9">
        <f>ROUND(+$E$97*$F101,0)</f>
        <v>261176</v>
      </c>
      <c r="I101" s="9"/>
    </row>
    <row r="102" spans="1:9" ht="12.75">
      <c r="A102" s="3" t="s">
        <v>142</v>
      </c>
      <c r="B102" s="19">
        <v>100697</v>
      </c>
      <c r="C102" s="19">
        <v>95</v>
      </c>
      <c r="D102" s="8" t="s">
        <v>96</v>
      </c>
      <c r="E102" s="9"/>
      <c r="F102" s="20">
        <v>0.00797</v>
      </c>
      <c r="G102" s="9">
        <f>ROUND(+$E$97*$F102,0)</f>
        <v>179756</v>
      </c>
      <c r="I102" s="9"/>
    </row>
    <row r="103" ht="12.75">
      <c r="I103" s="9"/>
    </row>
    <row r="104" spans="1:9" ht="12.75">
      <c r="A104" s="3" t="s">
        <v>24</v>
      </c>
      <c r="E104" s="9">
        <f>States!C30</f>
        <v>69639956</v>
      </c>
      <c r="H104" s="9">
        <f>G105</f>
        <v>27856</v>
      </c>
      <c r="I104" s="9">
        <f>SUM(E104-H104)</f>
        <v>69612100</v>
      </c>
    </row>
    <row r="105" spans="1:9" ht="12.75">
      <c r="A105" s="3" t="s">
        <v>143</v>
      </c>
      <c r="B105" s="19">
        <v>531692</v>
      </c>
      <c r="C105" s="19">
        <v>127</v>
      </c>
      <c r="D105" s="8" t="s">
        <v>96</v>
      </c>
      <c r="E105" s="9"/>
      <c r="F105" s="20">
        <v>0.0004</v>
      </c>
      <c r="G105" s="9">
        <f>ROUND(+$E$104*F105,0)</f>
        <v>27856</v>
      </c>
      <c r="I105" s="9"/>
    </row>
    <row r="106" spans="7:9" ht="12.75">
      <c r="G106" s="9"/>
      <c r="I106" s="9"/>
    </row>
    <row r="107" spans="1:9" ht="12.75">
      <c r="A107" s="3" t="s">
        <v>25</v>
      </c>
      <c r="E107" s="9">
        <f>States!C31</f>
        <v>91485119</v>
      </c>
      <c r="H107" s="9">
        <f>SUM(G108:G112)</f>
        <v>585121</v>
      </c>
      <c r="I107" s="9">
        <f>E107-H107</f>
        <v>90899998</v>
      </c>
    </row>
    <row r="108" spans="1:9" ht="12.75">
      <c r="A108" s="3" t="s">
        <v>144</v>
      </c>
      <c r="B108" s="19">
        <v>856399</v>
      </c>
      <c r="C108" s="19">
        <v>335</v>
      </c>
      <c r="D108" s="8" t="s">
        <v>98</v>
      </c>
      <c r="E108" s="9"/>
      <c r="F108" s="20">
        <f>$C108/$B108</f>
        <v>0.00039117</v>
      </c>
      <c r="G108" s="9">
        <f>ROUND(+$E$107*F108,0)</f>
        <v>35786</v>
      </c>
      <c r="I108" s="9"/>
    </row>
    <row r="109" spans="1:7" ht="12.75">
      <c r="A109" s="3" t="s">
        <v>145</v>
      </c>
      <c r="B109" s="19">
        <v>856399</v>
      </c>
      <c r="C109" s="19">
        <v>1149</v>
      </c>
      <c r="D109" s="8" t="s">
        <v>98</v>
      </c>
      <c r="E109" s="9"/>
      <c r="F109" s="20">
        <f>$C109/$B109</f>
        <v>0.00134166</v>
      </c>
      <c r="G109" s="9">
        <f>ROUND(+$E$107*F109,0)</f>
        <v>122742</v>
      </c>
    </row>
    <row r="110" spans="1:7" ht="12.75">
      <c r="A110" s="3" t="s">
        <v>223</v>
      </c>
      <c r="B110" s="19">
        <v>856399</v>
      </c>
      <c r="C110" s="19">
        <v>162</v>
      </c>
      <c r="D110" s="8" t="s">
        <v>98</v>
      </c>
      <c r="E110" s="9"/>
      <c r="F110" s="20">
        <f>$C110/$B110</f>
        <v>0.00018916</v>
      </c>
      <c r="G110" s="9">
        <f>ROUND(+$E$107*F110,0)</f>
        <v>17305</v>
      </c>
    </row>
    <row r="111" spans="1:7" ht="12.75">
      <c r="A111" s="3" t="s">
        <v>146</v>
      </c>
      <c r="B111" s="19">
        <v>856399</v>
      </c>
      <c r="C111" s="19">
        <v>555</v>
      </c>
      <c r="D111" s="8" t="s">
        <v>98</v>
      </c>
      <c r="E111" s="9"/>
      <c r="F111" s="20">
        <f>$C111/$B111</f>
        <v>0.00064806</v>
      </c>
      <c r="G111" s="9">
        <f>ROUND(+$E$107*F111,0)</f>
        <v>59288</v>
      </c>
    </row>
    <row r="112" spans="1:9" ht="12.75">
      <c r="A112" s="3" t="s">
        <v>147</v>
      </c>
      <c r="B112" s="19">
        <v>856399</v>
      </c>
      <c r="C112" s="19">
        <v>1744</v>
      </c>
      <c r="D112" s="8" t="s">
        <v>132</v>
      </c>
      <c r="E112" s="9"/>
      <c r="F112" s="20">
        <f>$C112/$B112</f>
        <v>0.00203643</v>
      </c>
      <c r="G112" s="9">
        <v>350000</v>
      </c>
      <c r="I112" s="9"/>
    </row>
    <row r="113" spans="5:9" ht="12.75">
      <c r="E113" s="9"/>
      <c r="G113" s="9"/>
      <c r="I113" s="9"/>
    </row>
    <row r="114" spans="1:9" ht="12.75">
      <c r="A114" s="3" t="s">
        <v>27</v>
      </c>
      <c r="E114" s="9">
        <f>States!C33</f>
        <v>12231985</v>
      </c>
      <c r="H114" s="9">
        <f>$G115</f>
        <v>20438</v>
      </c>
      <c r="I114" s="9">
        <f>$E114-$H114</f>
        <v>12211547</v>
      </c>
    </row>
    <row r="115" spans="1:9" ht="12.75">
      <c r="A115" s="3" t="s">
        <v>148</v>
      </c>
      <c r="B115" s="19">
        <v>334555</v>
      </c>
      <c r="C115" s="19">
        <v>559</v>
      </c>
      <c r="D115" s="8" t="s">
        <v>94</v>
      </c>
      <c r="E115" s="9"/>
      <c r="F115" s="20">
        <f>$C115/$B115</f>
        <v>0.00167088</v>
      </c>
      <c r="G115" s="9">
        <f>ROUND(+$E$114*F115,0)</f>
        <v>20438</v>
      </c>
      <c r="I115" s="9"/>
    </row>
    <row r="116" spans="5:9" ht="12.75">
      <c r="E116" s="9"/>
      <c r="G116" s="9"/>
      <c r="I116" s="9"/>
    </row>
    <row r="117" spans="1:9" ht="12.75">
      <c r="A117" s="3" t="s">
        <v>29</v>
      </c>
      <c r="E117" s="9">
        <f>States!C35</f>
        <v>12209954</v>
      </c>
      <c r="F117" s="24">
        <f>SUM(F118:F123)</f>
        <v>0.151407</v>
      </c>
      <c r="H117" s="9">
        <f>SUM($G118:$G123)</f>
        <v>1848673</v>
      </c>
      <c r="I117" s="9">
        <f>$E117-$H117</f>
        <v>10361281</v>
      </c>
    </row>
    <row r="118" spans="1:9" ht="12.75">
      <c r="A118" s="3" t="s">
        <v>149</v>
      </c>
      <c r="C118" s="4">
        <v>928</v>
      </c>
      <c r="D118" s="8" t="s">
        <v>96</v>
      </c>
      <c r="E118" s="9"/>
      <c r="F118" s="24">
        <v>0.029637</v>
      </c>
      <c r="G118" s="9">
        <f aca="true" t="shared" si="6" ref="G118:G123">ROUND(+$E$117*F118,0)</f>
        <v>361866</v>
      </c>
      <c r="I118" s="24"/>
    </row>
    <row r="119" spans="1:7" ht="12.75">
      <c r="A119" s="3" t="s">
        <v>150</v>
      </c>
      <c r="C119" s="4">
        <v>1135</v>
      </c>
      <c r="D119" s="8" t="s">
        <v>96</v>
      </c>
      <c r="E119" s="9"/>
      <c r="F119" s="24">
        <v>0.047916</v>
      </c>
      <c r="G119" s="9">
        <f t="shared" si="6"/>
        <v>585052</v>
      </c>
    </row>
    <row r="120" spans="1:7" ht="12.75">
      <c r="A120" s="3" t="s">
        <v>260</v>
      </c>
      <c r="C120" s="4">
        <v>246</v>
      </c>
      <c r="D120" s="8" t="s">
        <v>96</v>
      </c>
      <c r="E120" s="9"/>
      <c r="F120" s="24">
        <v>0.013682</v>
      </c>
      <c r="G120" s="9">
        <f t="shared" si="6"/>
        <v>167057</v>
      </c>
    </row>
    <row r="121" spans="1:7" ht="12.75">
      <c r="A121" s="3" t="s">
        <v>151</v>
      </c>
      <c r="C121" s="4">
        <v>871</v>
      </c>
      <c r="D121" s="8" t="s">
        <v>96</v>
      </c>
      <c r="E121" s="9"/>
      <c r="F121" s="24">
        <v>0.027471</v>
      </c>
      <c r="G121" s="9">
        <f t="shared" si="6"/>
        <v>335420</v>
      </c>
    </row>
    <row r="122" spans="1:7" ht="12.75">
      <c r="A122" s="3" t="s">
        <v>152</v>
      </c>
      <c r="C122" s="4">
        <v>381</v>
      </c>
      <c r="D122" s="8" t="s">
        <v>96</v>
      </c>
      <c r="E122" s="9"/>
      <c r="F122" s="24">
        <v>0.014598</v>
      </c>
      <c r="G122" s="9">
        <f t="shared" si="6"/>
        <v>178241</v>
      </c>
    </row>
    <row r="123" spans="1:7" ht="12.75">
      <c r="A123" s="3" t="s">
        <v>153</v>
      </c>
      <c r="C123" s="4">
        <v>536</v>
      </c>
      <c r="D123" s="8" t="s">
        <v>96</v>
      </c>
      <c r="E123" s="9"/>
      <c r="F123" s="24">
        <v>0.018103</v>
      </c>
      <c r="G123" s="9">
        <f t="shared" si="6"/>
        <v>221037</v>
      </c>
    </row>
    <row r="124" spans="1:7" ht="12.75">
      <c r="A124" s="3"/>
      <c r="D124" s="8"/>
      <c r="E124" s="9"/>
      <c r="F124" s="24"/>
      <c r="G124" s="9"/>
    </row>
    <row r="125" spans="1:9" ht="12.75">
      <c r="A125" s="3" t="s">
        <v>30</v>
      </c>
      <c r="D125" s="8"/>
      <c r="E125" s="9">
        <f>States!C36</f>
        <v>15291345</v>
      </c>
      <c r="F125" s="24"/>
      <c r="G125" s="9"/>
      <c r="H125" s="12">
        <f>G126</f>
        <v>3600</v>
      </c>
      <c r="I125" s="9">
        <f>$E125-$H125</f>
        <v>15287745</v>
      </c>
    </row>
    <row r="126" spans="1:7" ht="12.75">
      <c r="A126" s="3" t="s">
        <v>154</v>
      </c>
      <c r="B126" s="4">
        <v>136572</v>
      </c>
      <c r="D126" s="8" t="s">
        <v>132</v>
      </c>
      <c r="E126" s="9"/>
      <c r="F126" s="26"/>
      <c r="G126" s="9">
        <f>3600</f>
        <v>3600</v>
      </c>
    </row>
    <row r="127" spans="5:9" ht="12.75">
      <c r="E127" s="9"/>
      <c r="F127" s="24"/>
      <c r="G127" s="9"/>
      <c r="I127" s="9"/>
    </row>
    <row r="128" spans="1:9" ht="12.75">
      <c r="A128" s="3" t="s">
        <v>33</v>
      </c>
      <c r="E128" s="9">
        <f>States!C39</f>
        <v>64649868</v>
      </c>
      <c r="H128" s="9">
        <f>SUM($G129:G129)</f>
        <v>161634</v>
      </c>
      <c r="I128" s="9">
        <f>$E128-$H128</f>
        <v>64488234</v>
      </c>
    </row>
    <row r="129" spans="1:9" ht="12.75">
      <c r="A129" s="3" t="s">
        <v>155</v>
      </c>
      <c r="B129" s="19">
        <v>602367</v>
      </c>
      <c r="C129" s="19">
        <v>1506</v>
      </c>
      <c r="D129" s="8" t="s">
        <v>94</v>
      </c>
      <c r="E129" s="9"/>
      <c r="F129" s="20">
        <f>$C129/$B129</f>
        <v>0.00250014</v>
      </c>
      <c r="G129" s="9">
        <f>ROUND(+$E$128*F129,0)</f>
        <v>161634</v>
      </c>
      <c r="I129" s="9"/>
    </row>
    <row r="130" spans="5:9" ht="12.75">
      <c r="E130" s="9"/>
      <c r="G130" s="9"/>
      <c r="I130" s="9"/>
    </row>
    <row r="131" spans="1:9" ht="12.75">
      <c r="A131" s="3" t="s">
        <v>156</v>
      </c>
      <c r="E131" s="9">
        <f>States!C40</f>
        <v>8638110</v>
      </c>
      <c r="F131" s="24"/>
      <c r="H131" s="9">
        <f>SUM($G132:$G135)</f>
        <v>647287</v>
      </c>
      <c r="I131" s="9">
        <f>E131-H131</f>
        <v>7990823</v>
      </c>
    </row>
    <row r="132" spans="1:9" ht="12.75">
      <c r="A132" s="3" t="s">
        <v>157</v>
      </c>
      <c r="B132" s="19">
        <v>154990</v>
      </c>
      <c r="C132" s="19">
        <v>462</v>
      </c>
      <c r="D132" s="8" t="s">
        <v>94</v>
      </c>
      <c r="E132" s="9"/>
      <c r="F132" s="20">
        <f>$C132/$B132</f>
        <v>0.00298084</v>
      </c>
      <c r="G132" s="9">
        <f>ROUND(+$E$131*F132,0)</f>
        <v>25749</v>
      </c>
      <c r="I132" s="9"/>
    </row>
    <row r="133" spans="1:9" ht="12.75">
      <c r="A133" s="3" t="s">
        <v>158</v>
      </c>
      <c r="B133" s="19">
        <v>154990</v>
      </c>
      <c r="C133" s="19">
        <v>261</v>
      </c>
      <c r="D133" s="8" t="s">
        <v>94</v>
      </c>
      <c r="E133" s="9"/>
      <c r="F133" s="20">
        <f>$C133/$B133</f>
        <v>0.00168398</v>
      </c>
      <c r="G133" s="9">
        <f>ROUND(+$E$131*F133,0)</f>
        <v>14546</v>
      </c>
      <c r="I133" s="9"/>
    </row>
    <row r="134" spans="1:9" ht="12.75">
      <c r="A134" s="3" t="s">
        <v>159</v>
      </c>
      <c r="B134" s="19">
        <v>154990</v>
      </c>
      <c r="C134" s="19">
        <v>9939</v>
      </c>
      <c r="D134" s="8" t="s">
        <v>94</v>
      </c>
      <c r="E134" s="9"/>
      <c r="F134" s="20">
        <f>$C134/$B134</f>
        <v>0.06412672</v>
      </c>
      <c r="G134" s="9">
        <f>ROUND(+$E$131*F134,0)</f>
        <v>553934</v>
      </c>
      <c r="I134" s="9"/>
    </row>
    <row r="135" spans="1:9" ht="12.75">
      <c r="A135" s="3" t="s">
        <v>160</v>
      </c>
      <c r="B135" s="19">
        <v>154990</v>
      </c>
      <c r="C135" s="19">
        <v>952</v>
      </c>
      <c r="D135" s="8" t="s">
        <v>94</v>
      </c>
      <c r="E135" s="9"/>
      <c r="F135" s="20">
        <f>$C135/$B135</f>
        <v>0.00614233</v>
      </c>
      <c r="G135" s="9">
        <f>ROUND(+$E$131*F135,0)</f>
        <v>53058</v>
      </c>
      <c r="I135" s="9"/>
    </row>
    <row r="136" spans="1:10" ht="12.75">
      <c r="A136" s="3" t="s">
        <v>251</v>
      </c>
      <c r="H136" s="4" t="s">
        <v>249</v>
      </c>
      <c r="J136" s="3" t="s">
        <v>55</v>
      </c>
    </row>
    <row r="137" spans="1:8" ht="12.75">
      <c r="A137" s="32" t="s">
        <v>286</v>
      </c>
      <c r="C137" s="3" t="s">
        <v>66</v>
      </c>
      <c r="F137" s="23"/>
      <c r="H137" s="17" t="s">
        <v>55</v>
      </c>
    </row>
    <row r="138" spans="1:8" ht="12.75">
      <c r="A138" s="38" t="s">
        <v>287</v>
      </c>
      <c r="G138" s="8" t="s">
        <v>75</v>
      </c>
      <c r="H138" s="8" t="s">
        <v>76</v>
      </c>
    </row>
    <row r="139" spans="2:9" ht="12.75">
      <c r="B139" s="8" t="s">
        <v>77</v>
      </c>
      <c r="C139" s="8" t="s">
        <v>78</v>
      </c>
      <c r="E139" s="8" t="s">
        <v>79</v>
      </c>
      <c r="F139" s="8" t="s">
        <v>80</v>
      </c>
      <c r="G139" s="8" t="s">
        <v>81</v>
      </c>
      <c r="H139" s="8" t="s">
        <v>82</v>
      </c>
      <c r="I139" s="8" t="s">
        <v>83</v>
      </c>
    </row>
    <row r="140" spans="1:9" ht="12.75">
      <c r="A140" s="8" t="s">
        <v>84</v>
      </c>
      <c r="B140" s="8" t="s">
        <v>85</v>
      </c>
      <c r="C140" s="8" t="s">
        <v>86</v>
      </c>
      <c r="D140" s="8" t="s">
        <v>87</v>
      </c>
      <c r="E140" s="8" t="s">
        <v>88</v>
      </c>
      <c r="F140" s="8" t="s">
        <v>89</v>
      </c>
      <c r="G140" s="8" t="s">
        <v>90</v>
      </c>
      <c r="H140" s="8" t="s">
        <v>91</v>
      </c>
      <c r="I140" s="8" t="s">
        <v>92</v>
      </c>
    </row>
    <row r="141" spans="5:9" ht="12.75">
      <c r="E141" s="9"/>
      <c r="F141" s="24"/>
      <c r="G141" s="9"/>
      <c r="I141" s="9"/>
    </row>
    <row r="142" spans="1:9" ht="12.75">
      <c r="A142" s="3" t="s">
        <v>35</v>
      </c>
      <c r="E142" s="9">
        <f>States!C41</f>
        <v>211091601</v>
      </c>
      <c r="H142" s="9">
        <f>SUM($G143:$G144)</f>
        <v>369073</v>
      </c>
      <c r="I142" s="9">
        <f>$E142-$H142</f>
        <v>210722528</v>
      </c>
    </row>
    <row r="143" spans="1:9" ht="12.75">
      <c r="A143" s="3" t="s">
        <v>161</v>
      </c>
      <c r="B143" s="19">
        <v>1622237</v>
      </c>
      <c r="C143" s="19">
        <v>547</v>
      </c>
      <c r="D143" s="8" t="s">
        <v>98</v>
      </c>
      <c r="E143" s="9"/>
      <c r="F143" s="20">
        <f>$C143/$B143</f>
        <v>0.00033719</v>
      </c>
      <c r="G143" s="9">
        <f>ROUND(+$E$142*$F143,0)+111176</f>
        <v>182354</v>
      </c>
      <c r="I143" s="9"/>
    </row>
    <row r="144" spans="1:9" ht="12.75">
      <c r="A144" s="3" t="s">
        <v>162</v>
      </c>
      <c r="B144" s="19">
        <v>1622237</v>
      </c>
      <c r="C144" s="19">
        <v>317</v>
      </c>
      <c r="D144" s="8" t="s">
        <v>98</v>
      </c>
      <c r="E144" s="9"/>
      <c r="F144" s="20">
        <f>$C144/$B144</f>
        <v>0.00019541</v>
      </c>
      <c r="G144" s="9">
        <f>ROUND(+$E$142*$F144,0)+145470</f>
        <v>186719</v>
      </c>
      <c r="I144" s="9"/>
    </row>
    <row r="145" spans="5:9" ht="12.75">
      <c r="E145" s="9"/>
      <c r="F145" s="24"/>
      <c r="G145" s="9"/>
      <c r="I145" s="9"/>
    </row>
    <row r="146" spans="1:9" ht="12.75">
      <c r="A146" s="3" t="s">
        <v>36</v>
      </c>
      <c r="E146" s="9">
        <f>States!C42</f>
        <v>31459054</v>
      </c>
      <c r="H146" s="9">
        <f>$G147</f>
        <v>505634</v>
      </c>
      <c r="I146" s="9">
        <f>E146-H146</f>
        <v>30953420</v>
      </c>
    </row>
    <row r="147" spans="1:9" ht="12.75">
      <c r="A147" s="3" t="s">
        <v>256</v>
      </c>
      <c r="B147" s="19">
        <v>618221</v>
      </c>
      <c r="C147" s="19">
        <v>6441</v>
      </c>
      <c r="D147" s="8" t="s">
        <v>96</v>
      </c>
      <c r="E147" s="9"/>
      <c r="F147" s="20">
        <v>0.01607278</v>
      </c>
      <c r="G147" s="9">
        <f>ROUND(+$E$146*$F147,0)</f>
        <v>505634</v>
      </c>
      <c r="I147" s="9"/>
    </row>
    <row r="149" spans="1:9" ht="12.75">
      <c r="A149" s="3" t="s">
        <v>37</v>
      </c>
      <c r="D149" s="3" t="s">
        <v>55</v>
      </c>
      <c r="E149" s="9">
        <f>States!C43</f>
        <v>13263704</v>
      </c>
      <c r="F149" s="24">
        <f>SUM(F150:F153)</f>
        <v>0.1895</v>
      </c>
      <c r="H149" s="9">
        <f>SUM(G150:G153)</f>
        <v>2513471</v>
      </c>
      <c r="I149" s="9">
        <f>E149-H149</f>
        <v>10750233</v>
      </c>
    </row>
    <row r="150" spans="1:9" ht="12.75">
      <c r="A150" s="3" t="s">
        <v>257</v>
      </c>
      <c r="D150" s="8" t="s">
        <v>96</v>
      </c>
      <c r="E150" s="9"/>
      <c r="F150" s="27">
        <v>0.0384</v>
      </c>
      <c r="G150" s="9">
        <f>ROUND(+$E$149*F150,0)</f>
        <v>509326</v>
      </c>
      <c r="I150" s="9"/>
    </row>
    <row r="151" spans="1:9" ht="12.75">
      <c r="A151" s="3" t="s">
        <v>163</v>
      </c>
      <c r="D151" s="8" t="s">
        <v>96</v>
      </c>
      <c r="E151" s="9"/>
      <c r="F151" s="27">
        <v>0.0311</v>
      </c>
      <c r="G151" s="9">
        <f>ROUND(+$E$149*F151,0)</f>
        <v>412501</v>
      </c>
      <c r="I151" s="9"/>
    </row>
    <row r="152" spans="1:9" ht="12.75">
      <c r="A152" s="3" t="s">
        <v>164</v>
      </c>
      <c r="D152" s="8" t="s">
        <v>96</v>
      </c>
      <c r="E152" s="9"/>
      <c r="F152" s="27">
        <v>0.0335</v>
      </c>
      <c r="G152" s="9">
        <f>ROUND(+$E$149*F152,0)</f>
        <v>444334</v>
      </c>
      <c r="I152" s="9"/>
    </row>
    <row r="153" spans="1:9" ht="12.75">
      <c r="A153" s="3" t="s">
        <v>165</v>
      </c>
      <c r="D153" s="8" t="s">
        <v>96</v>
      </c>
      <c r="E153" s="9"/>
      <c r="F153" s="27">
        <v>0.0865</v>
      </c>
      <c r="G153" s="9">
        <f>ROUND(+$E$149*F153,0)</f>
        <v>1147310</v>
      </c>
      <c r="I153" s="9"/>
    </row>
    <row r="154" spans="5:9" ht="12.75">
      <c r="E154" s="9"/>
      <c r="F154" s="24"/>
      <c r="G154" s="9"/>
      <c r="I154" s="9"/>
    </row>
    <row r="155" spans="1:9" ht="12.75">
      <c r="A155" s="3" t="s">
        <v>39</v>
      </c>
      <c r="E155" s="9">
        <f>States!C45</f>
        <v>13114569</v>
      </c>
      <c r="F155" s="24"/>
      <c r="H155" s="9">
        <f>SUM(G156:G185)</f>
        <v>1152793</v>
      </c>
      <c r="I155" s="9">
        <f>E155-H155</f>
        <v>11961776</v>
      </c>
    </row>
    <row r="156" spans="1:9" ht="12.75">
      <c r="A156" s="3" t="s">
        <v>166</v>
      </c>
      <c r="B156" s="19">
        <v>334782</v>
      </c>
      <c r="C156" s="19">
        <v>195</v>
      </c>
      <c r="D156" s="8" t="s">
        <v>98</v>
      </c>
      <c r="E156" s="9"/>
      <c r="F156" s="20">
        <f aca="true" t="shared" si="7" ref="F156:F185">$C156/$B156</f>
        <v>0.00058247</v>
      </c>
      <c r="G156" s="9">
        <f>ROUND(MAXA(+$E$155*$F156,3000),0)</f>
        <v>7639</v>
      </c>
      <c r="I156" s="9"/>
    </row>
    <row r="157" spans="1:9" ht="12.75">
      <c r="A157" s="3" t="s">
        <v>232</v>
      </c>
      <c r="B157" s="19">
        <v>334782</v>
      </c>
      <c r="C157" s="19">
        <v>125</v>
      </c>
      <c r="D157" s="8" t="s">
        <v>98</v>
      </c>
      <c r="E157" s="9"/>
      <c r="F157" s="20">
        <f>$C157/$B157</f>
        <v>0.00037338</v>
      </c>
      <c r="G157" s="9">
        <f aca="true" t="shared" si="8" ref="G157:G185">ROUND(MAXA(+$E$155*$F157,3000),0)</f>
        <v>4897</v>
      </c>
      <c r="I157" s="9"/>
    </row>
    <row r="158" spans="1:9" ht="12.75">
      <c r="A158" s="3" t="s">
        <v>229</v>
      </c>
      <c r="B158" s="19">
        <v>334782</v>
      </c>
      <c r="C158" s="19">
        <v>168</v>
      </c>
      <c r="D158" s="8" t="s">
        <v>98</v>
      </c>
      <c r="E158" s="9"/>
      <c r="F158" s="20">
        <f t="shared" si="7"/>
        <v>0.00050182</v>
      </c>
      <c r="G158" s="9">
        <f t="shared" si="8"/>
        <v>6581</v>
      </c>
      <c r="I158" s="9"/>
    </row>
    <row r="159" spans="1:9" ht="12.75">
      <c r="A159" s="3" t="s">
        <v>167</v>
      </c>
      <c r="B159" s="19">
        <v>334782</v>
      </c>
      <c r="C159" s="19">
        <v>196</v>
      </c>
      <c r="D159" s="8" t="s">
        <v>98</v>
      </c>
      <c r="E159" s="9"/>
      <c r="F159" s="20">
        <f t="shared" si="7"/>
        <v>0.00058546</v>
      </c>
      <c r="G159" s="9">
        <f t="shared" si="8"/>
        <v>7678</v>
      </c>
      <c r="I159" s="9"/>
    </row>
    <row r="160" spans="1:9" ht="12.75">
      <c r="A160" s="3" t="s">
        <v>168</v>
      </c>
      <c r="B160" s="19">
        <v>334782</v>
      </c>
      <c r="C160" s="19">
        <v>12117</v>
      </c>
      <c r="D160" s="8" t="s">
        <v>98</v>
      </c>
      <c r="E160" s="9"/>
      <c r="F160" s="20">
        <f t="shared" si="7"/>
        <v>0.0361937</v>
      </c>
      <c r="G160" s="9">
        <f t="shared" si="8"/>
        <v>474665</v>
      </c>
      <c r="I160" s="28" t="s">
        <v>55</v>
      </c>
    </row>
    <row r="161" spans="1:9" ht="12.75">
      <c r="A161" s="3" t="s">
        <v>169</v>
      </c>
      <c r="B161" s="19">
        <v>334782</v>
      </c>
      <c r="C161" s="19">
        <v>635</v>
      </c>
      <c r="D161" s="8" t="s">
        <v>98</v>
      </c>
      <c r="E161" s="9"/>
      <c r="F161" s="20">
        <f t="shared" si="7"/>
        <v>0.00189676</v>
      </c>
      <c r="G161" s="9">
        <f t="shared" si="8"/>
        <v>24875</v>
      </c>
      <c r="I161" s="9"/>
    </row>
    <row r="162" spans="1:9" ht="12.75">
      <c r="A162" s="3" t="s">
        <v>170</v>
      </c>
      <c r="B162" s="19">
        <v>334782</v>
      </c>
      <c r="C162" s="19">
        <v>1377</v>
      </c>
      <c r="D162" s="8" t="s">
        <v>98</v>
      </c>
      <c r="E162" s="9"/>
      <c r="F162" s="20">
        <f t="shared" si="7"/>
        <v>0.00411312</v>
      </c>
      <c r="G162" s="9">
        <f t="shared" si="8"/>
        <v>53942</v>
      </c>
      <c r="I162" s="9"/>
    </row>
    <row r="163" spans="1:9" ht="12.75">
      <c r="A163" s="3" t="s">
        <v>171</v>
      </c>
      <c r="B163" s="19">
        <v>334782</v>
      </c>
      <c r="C163" s="19">
        <v>4412</v>
      </c>
      <c r="D163" s="8" t="s">
        <v>98</v>
      </c>
      <c r="E163" s="9"/>
      <c r="F163" s="20">
        <f t="shared" si="7"/>
        <v>0.01317873</v>
      </c>
      <c r="G163" s="9">
        <f t="shared" si="8"/>
        <v>172833</v>
      </c>
      <c r="I163" s="28" t="s">
        <v>55</v>
      </c>
    </row>
    <row r="164" spans="1:9" ht="12.75">
      <c r="A164" s="3" t="s">
        <v>258</v>
      </c>
      <c r="B164" s="19">
        <v>334782</v>
      </c>
      <c r="C164" s="19">
        <v>256</v>
      </c>
      <c r="D164" s="8" t="s">
        <v>98</v>
      </c>
      <c r="E164" s="9"/>
      <c r="F164" s="20">
        <f t="shared" si="7"/>
        <v>0.00076468</v>
      </c>
      <c r="G164" s="9">
        <f t="shared" si="8"/>
        <v>10028</v>
      </c>
      <c r="I164" s="9"/>
    </row>
    <row r="165" spans="1:9" ht="12.75">
      <c r="A165" s="3" t="s">
        <v>172</v>
      </c>
      <c r="B165" s="19">
        <v>334782</v>
      </c>
      <c r="C165" s="19">
        <v>696</v>
      </c>
      <c r="D165" s="8" t="s">
        <v>98</v>
      </c>
      <c r="E165" s="9"/>
      <c r="F165" s="20">
        <f t="shared" si="7"/>
        <v>0.00207896</v>
      </c>
      <c r="G165" s="9">
        <f t="shared" si="8"/>
        <v>27265</v>
      </c>
      <c r="I165" s="9"/>
    </row>
    <row r="166" spans="1:9" ht="12.75">
      <c r="A166" s="3" t="s">
        <v>173</v>
      </c>
      <c r="B166" s="19">
        <v>334782</v>
      </c>
      <c r="C166" s="19">
        <v>326</v>
      </c>
      <c r="D166" s="8" t="s">
        <v>98</v>
      </c>
      <c r="E166" s="9"/>
      <c r="F166" s="20">
        <f t="shared" si="7"/>
        <v>0.00097377</v>
      </c>
      <c r="G166" s="9">
        <f t="shared" si="8"/>
        <v>12771</v>
      </c>
      <c r="I166" s="9"/>
    </row>
    <row r="167" spans="1:9" ht="12.75">
      <c r="A167" s="3" t="s">
        <v>227</v>
      </c>
      <c r="B167" s="19">
        <v>334782</v>
      </c>
      <c r="C167" s="19">
        <v>8</v>
      </c>
      <c r="D167" s="8" t="s">
        <v>132</v>
      </c>
      <c r="E167" s="9"/>
      <c r="F167" s="20">
        <f t="shared" si="7"/>
        <v>2.39E-05</v>
      </c>
      <c r="G167" s="9">
        <f t="shared" si="8"/>
        <v>3000</v>
      </c>
      <c r="I167" s="9"/>
    </row>
    <row r="168" spans="1:7" ht="12.75">
      <c r="A168" s="3" t="s">
        <v>174</v>
      </c>
      <c r="B168" s="19">
        <v>334782</v>
      </c>
      <c r="C168" s="19">
        <v>170</v>
      </c>
      <c r="D168" s="8" t="s">
        <v>98</v>
      </c>
      <c r="F168" s="20">
        <f t="shared" si="7"/>
        <v>0.00050779</v>
      </c>
      <c r="G168" s="9">
        <f t="shared" si="8"/>
        <v>6659</v>
      </c>
    </row>
    <row r="169" spans="1:9" ht="12.75">
      <c r="A169" s="3" t="s">
        <v>175</v>
      </c>
      <c r="B169" s="19">
        <v>334782</v>
      </c>
      <c r="C169" s="19">
        <v>612</v>
      </c>
      <c r="D169" s="8" t="s">
        <v>98</v>
      </c>
      <c r="E169" s="9"/>
      <c r="F169" s="20">
        <f t="shared" si="7"/>
        <v>0.00182806</v>
      </c>
      <c r="G169" s="9">
        <f t="shared" si="8"/>
        <v>23974</v>
      </c>
      <c r="I169" s="9"/>
    </row>
    <row r="170" spans="1:9" ht="12.75">
      <c r="A170" s="3" t="s">
        <v>176</v>
      </c>
      <c r="B170" s="19">
        <v>334782</v>
      </c>
      <c r="C170" s="19">
        <v>100</v>
      </c>
      <c r="D170" s="8" t="s">
        <v>132</v>
      </c>
      <c r="E170" s="9"/>
      <c r="F170" s="20">
        <f t="shared" si="7"/>
        <v>0.0002987</v>
      </c>
      <c r="G170" s="9">
        <f t="shared" si="8"/>
        <v>3917</v>
      </c>
      <c r="I170" s="9"/>
    </row>
    <row r="171" spans="1:7" ht="12.75">
      <c r="A171" s="3" t="s">
        <v>177</v>
      </c>
      <c r="B171" s="19">
        <v>334782</v>
      </c>
      <c r="C171" s="3" t="s">
        <v>55</v>
      </c>
      <c r="D171" s="8" t="s">
        <v>132</v>
      </c>
      <c r="F171" s="20">
        <f t="shared" si="7"/>
        <v>0</v>
      </c>
      <c r="G171" s="9">
        <f t="shared" si="8"/>
        <v>3000</v>
      </c>
    </row>
    <row r="172" spans="1:9" ht="12.75">
      <c r="A172" s="3" t="s">
        <v>178</v>
      </c>
      <c r="B172" s="19">
        <v>334782</v>
      </c>
      <c r="C172" s="19">
        <v>3057</v>
      </c>
      <c r="D172" s="8" t="s">
        <v>98</v>
      </c>
      <c r="E172" s="9"/>
      <c r="F172" s="20">
        <f t="shared" si="7"/>
        <v>0.00913132</v>
      </c>
      <c r="G172" s="9">
        <f t="shared" si="8"/>
        <v>119753</v>
      </c>
      <c r="I172" s="9"/>
    </row>
    <row r="173" spans="1:9" ht="12.75">
      <c r="A173" s="3" t="s">
        <v>179</v>
      </c>
      <c r="B173" s="19">
        <v>334782</v>
      </c>
      <c r="C173" s="19">
        <v>678</v>
      </c>
      <c r="D173" s="8" t="s">
        <v>98</v>
      </c>
      <c r="E173" s="9"/>
      <c r="F173" s="20">
        <f t="shared" si="7"/>
        <v>0.0020252</v>
      </c>
      <c r="G173" s="9">
        <f t="shared" si="8"/>
        <v>26560</v>
      </c>
      <c r="I173" s="9"/>
    </row>
    <row r="174" spans="1:9" ht="12.75">
      <c r="A174" s="3" t="s">
        <v>180</v>
      </c>
      <c r="B174" s="19">
        <v>334782</v>
      </c>
      <c r="C174" s="19">
        <v>92</v>
      </c>
      <c r="D174" s="8" t="s">
        <v>132</v>
      </c>
      <c r="E174" s="9"/>
      <c r="F174" s="20">
        <f t="shared" si="7"/>
        <v>0.00027481</v>
      </c>
      <c r="G174" s="9">
        <f t="shared" si="8"/>
        <v>3604</v>
      </c>
      <c r="I174" s="9"/>
    </row>
    <row r="175" spans="1:9" ht="12.75">
      <c r="A175" s="3" t="s">
        <v>228</v>
      </c>
      <c r="B175" s="19">
        <v>334782</v>
      </c>
      <c r="C175" s="19">
        <v>23</v>
      </c>
      <c r="D175" s="8" t="s">
        <v>132</v>
      </c>
      <c r="E175" s="9"/>
      <c r="F175" s="20">
        <f t="shared" si="7"/>
        <v>6.87E-05</v>
      </c>
      <c r="G175" s="9">
        <f t="shared" si="8"/>
        <v>3000</v>
      </c>
      <c r="I175" s="9"/>
    </row>
    <row r="176" spans="1:9" ht="12.75">
      <c r="A176" s="3" t="s">
        <v>181</v>
      </c>
      <c r="B176" s="19">
        <v>334782</v>
      </c>
      <c r="C176" s="19">
        <v>104</v>
      </c>
      <c r="D176" s="8" t="s">
        <v>132</v>
      </c>
      <c r="E176" s="9"/>
      <c r="F176" s="20">
        <f t="shared" si="7"/>
        <v>0.00031065</v>
      </c>
      <c r="G176" s="9">
        <f t="shared" si="8"/>
        <v>4074</v>
      </c>
      <c r="I176" s="9"/>
    </row>
    <row r="177" spans="1:7" ht="12.75">
      <c r="A177" s="3" t="s">
        <v>182</v>
      </c>
      <c r="B177" s="19">
        <v>334782</v>
      </c>
      <c r="C177" s="19">
        <v>225</v>
      </c>
      <c r="D177" s="8" t="s">
        <v>98</v>
      </c>
      <c r="F177" s="20">
        <f t="shared" si="7"/>
        <v>0.00067208</v>
      </c>
      <c r="G177" s="9">
        <f t="shared" si="8"/>
        <v>8814</v>
      </c>
    </row>
    <row r="178" spans="1:7" ht="12.75">
      <c r="A178" s="3" t="s">
        <v>230</v>
      </c>
      <c r="B178" s="19">
        <v>334782</v>
      </c>
      <c r="C178" s="19">
        <v>246</v>
      </c>
      <c r="D178" s="8" t="s">
        <v>98</v>
      </c>
      <c r="F178" s="20">
        <f t="shared" si="7"/>
        <v>0.00073481</v>
      </c>
      <c r="G178" s="9">
        <f t="shared" si="8"/>
        <v>9637</v>
      </c>
    </row>
    <row r="179" spans="1:9" ht="12.75">
      <c r="A179" s="3" t="s">
        <v>183</v>
      </c>
      <c r="B179" s="19">
        <v>334782</v>
      </c>
      <c r="C179" s="19">
        <v>194</v>
      </c>
      <c r="D179" s="8" t="s">
        <v>98</v>
      </c>
      <c r="E179" s="9"/>
      <c r="F179" s="20">
        <f t="shared" si="7"/>
        <v>0.00057948</v>
      </c>
      <c r="G179" s="9">
        <f t="shared" si="8"/>
        <v>7600</v>
      </c>
      <c r="I179" s="9"/>
    </row>
    <row r="180" spans="1:9" ht="12.75">
      <c r="A180" s="3" t="s">
        <v>184</v>
      </c>
      <c r="B180" s="19">
        <v>334782</v>
      </c>
      <c r="C180" s="19">
        <v>606</v>
      </c>
      <c r="D180" s="8" t="s">
        <v>98</v>
      </c>
      <c r="E180" s="9"/>
      <c r="F180" s="20">
        <f t="shared" si="7"/>
        <v>0.00181013</v>
      </c>
      <c r="G180" s="9">
        <f t="shared" si="8"/>
        <v>23739</v>
      </c>
      <c r="I180" s="9"/>
    </row>
    <row r="181" spans="1:9" ht="12.75">
      <c r="A181" s="3" t="s">
        <v>185</v>
      </c>
      <c r="B181" s="19">
        <v>334782</v>
      </c>
      <c r="C181" s="19">
        <v>119</v>
      </c>
      <c r="D181" s="8" t="s">
        <v>132</v>
      </c>
      <c r="E181" s="9"/>
      <c r="F181" s="20">
        <f t="shared" si="7"/>
        <v>0.00035546</v>
      </c>
      <c r="G181" s="9">
        <f t="shared" si="8"/>
        <v>4662</v>
      </c>
      <c r="I181" s="9"/>
    </row>
    <row r="182" spans="1:9" ht="12.75">
      <c r="A182" s="3" t="s">
        <v>245</v>
      </c>
      <c r="B182" s="19"/>
      <c r="C182" s="19"/>
      <c r="D182" s="8"/>
      <c r="E182" s="9"/>
      <c r="F182" s="20"/>
      <c r="G182" s="9">
        <f t="shared" si="8"/>
        <v>3000</v>
      </c>
      <c r="I182" s="9"/>
    </row>
    <row r="183" spans="1:9" ht="12.75">
      <c r="A183" s="3" t="s">
        <v>186</v>
      </c>
      <c r="B183" s="19">
        <v>334782</v>
      </c>
      <c r="C183" s="19">
        <v>34</v>
      </c>
      <c r="D183" s="8" t="s">
        <v>132</v>
      </c>
      <c r="E183" s="9"/>
      <c r="F183" s="20">
        <f t="shared" si="7"/>
        <v>0.00010156</v>
      </c>
      <c r="G183" s="9">
        <f t="shared" si="8"/>
        <v>3000</v>
      </c>
      <c r="I183" s="9"/>
    </row>
    <row r="184" spans="1:9" ht="12.75">
      <c r="A184" s="3" t="s">
        <v>233</v>
      </c>
      <c r="B184" s="19">
        <v>334782</v>
      </c>
      <c r="C184" s="19">
        <v>2250</v>
      </c>
      <c r="D184" s="8" t="s">
        <v>98</v>
      </c>
      <c r="E184" s="9"/>
      <c r="F184" s="20">
        <f t="shared" si="7"/>
        <v>0.00672079</v>
      </c>
      <c r="G184" s="9">
        <f t="shared" si="8"/>
        <v>88140</v>
      </c>
      <c r="I184" s="9"/>
    </row>
    <row r="185" spans="1:9" ht="12.75">
      <c r="A185" s="3" t="s">
        <v>187</v>
      </c>
      <c r="B185" s="19">
        <v>334782</v>
      </c>
      <c r="C185" s="19">
        <v>89</v>
      </c>
      <c r="D185" s="8" t="s">
        <v>132</v>
      </c>
      <c r="E185" s="9"/>
      <c r="F185" s="20">
        <f t="shared" si="7"/>
        <v>0.00026584</v>
      </c>
      <c r="G185" s="9">
        <f t="shared" si="8"/>
        <v>3486</v>
      </c>
      <c r="I185" s="9"/>
    </row>
    <row r="186" spans="1:9" ht="12.75">
      <c r="A186" s="3" t="s">
        <v>188</v>
      </c>
      <c r="E186" s="9"/>
      <c r="G186" s="9"/>
      <c r="I186" s="9"/>
    </row>
    <row r="187" spans="1:9" ht="12.75">
      <c r="A187" s="3" t="s">
        <v>40</v>
      </c>
      <c r="D187" s="3" t="s">
        <v>55</v>
      </c>
      <c r="E187" s="9">
        <f>States!C46</f>
        <v>20683601</v>
      </c>
      <c r="F187" s="20" t="s">
        <v>55</v>
      </c>
      <c r="H187" s="9">
        <f>SUM(G188:G191)</f>
        <v>390295</v>
      </c>
      <c r="I187" s="9">
        <f>E187-H187</f>
        <v>20293306</v>
      </c>
    </row>
    <row r="188" spans="1:9" ht="12.75">
      <c r="A188" s="3" t="s">
        <v>264</v>
      </c>
      <c r="B188" s="19">
        <v>239405</v>
      </c>
      <c r="D188" s="8" t="s">
        <v>132</v>
      </c>
      <c r="E188" s="9"/>
      <c r="F188" s="20">
        <f>$C188/$B188</f>
        <v>0</v>
      </c>
      <c r="G188" s="9">
        <v>118845</v>
      </c>
      <c r="H188" s="9"/>
      <c r="I188" s="9"/>
    </row>
    <row r="189" spans="1:9" ht="12.75">
      <c r="A189" s="3" t="s">
        <v>281</v>
      </c>
      <c r="B189" s="19">
        <v>239405</v>
      </c>
      <c r="D189" s="8" t="s">
        <v>132</v>
      </c>
      <c r="E189" s="9"/>
      <c r="F189" s="20"/>
      <c r="G189" s="9">
        <v>114665</v>
      </c>
      <c r="H189" s="9"/>
      <c r="I189" s="9"/>
    </row>
    <row r="190" spans="1:9" ht="12.75">
      <c r="A190" s="3" t="s">
        <v>189</v>
      </c>
      <c r="B190" s="19">
        <v>239405</v>
      </c>
      <c r="D190" s="8" t="s">
        <v>132</v>
      </c>
      <c r="E190" s="9"/>
      <c r="F190" s="29" t="s">
        <v>55</v>
      </c>
      <c r="G190" s="9">
        <f>12000</f>
        <v>12000</v>
      </c>
      <c r="H190" s="9"/>
      <c r="I190" s="9"/>
    </row>
    <row r="191" spans="1:9" ht="12.75">
      <c r="A191" s="3" t="s">
        <v>190</v>
      </c>
      <c r="B191" s="19">
        <v>239405</v>
      </c>
      <c r="D191" s="8" t="s">
        <v>96</v>
      </c>
      <c r="E191" s="9"/>
      <c r="F191" s="25">
        <v>0.007</v>
      </c>
      <c r="G191" s="9">
        <f>ROUND(+$E$187*F191,0)</f>
        <v>144785</v>
      </c>
      <c r="H191" s="9"/>
      <c r="I191" s="9"/>
    </row>
    <row r="192" spans="1:10" ht="12.75">
      <c r="A192" s="3" t="s">
        <v>251</v>
      </c>
      <c r="H192" s="4" t="s">
        <v>250</v>
      </c>
      <c r="J192" s="3" t="s">
        <v>55</v>
      </c>
    </row>
    <row r="193" spans="1:8" ht="12.75">
      <c r="A193" s="32" t="s">
        <v>286</v>
      </c>
      <c r="C193" s="3" t="s">
        <v>66</v>
      </c>
      <c r="F193" s="23"/>
      <c r="H193" s="17" t="s">
        <v>55</v>
      </c>
    </row>
    <row r="194" spans="1:8" ht="12.75">
      <c r="A194" s="38" t="s">
        <v>287</v>
      </c>
      <c r="G194" s="8" t="s">
        <v>75</v>
      </c>
      <c r="H194" s="8" t="s">
        <v>76</v>
      </c>
    </row>
    <row r="195" spans="1:9" ht="12.75">
      <c r="A195" s="38"/>
      <c r="B195" s="8" t="s">
        <v>77</v>
      </c>
      <c r="C195" s="8" t="s">
        <v>78</v>
      </c>
      <c r="E195" s="8" t="s">
        <v>79</v>
      </c>
      <c r="F195" s="8" t="s">
        <v>191</v>
      </c>
      <c r="G195" s="8" t="s">
        <v>81</v>
      </c>
      <c r="H195" s="8" t="s">
        <v>82</v>
      </c>
      <c r="I195" s="8" t="s">
        <v>83</v>
      </c>
    </row>
    <row r="196" spans="1:9" ht="12.75">
      <c r="A196" s="8" t="s">
        <v>84</v>
      </c>
      <c r="B196" s="8" t="s">
        <v>85</v>
      </c>
      <c r="C196" s="8" t="s">
        <v>86</v>
      </c>
      <c r="D196" s="8" t="s">
        <v>87</v>
      </c>
      <c r="E196" s="8" t="s">
        <v>88</v>
      </c>
      <c r="F196" s="8" t="s">
        <v>89</v>
      </c>
      <c r="G196" s="8" t="s">
        <v>90</v>
      </c>
      <c r="H196" s="8" t="s">
        <v>91</v>
      </c>
      <c r="I196" s="8" t="s">
        <v>92</v>
      </c>
    </row>
    <row r="197" spans="1:9" ht="12.75">
      <c r="A197" s="8"/>
      <c r="B197" s="8"/>
      <c r="C197" s="8"/>
      <c r="D197" s="8"/>
      <c r="E197" s="8"/>
      <c r="F197" s="8"/>
      <c r="G197" s="8"/>
      <c r="H197" s="8"/>
      <c r="I197" s="8"/>
    </row>
    <row r="198" spans="1:9" ht="12.75">
      <c r="A198" s="3" t="s">
        <v>42</v>
      </c>
      <c r="E198" s="9">
        <f>States!C48</f>
        <v>11463134</v>
      </c>
      <c r="H198" s="9">
        <f>$G199</f>
        <v>32480</v>
      </c>
      <c r="I198" s="9">
        <f>SUM($E198-$H198)</f>
        <v>11430654</v>
      </c>
    </row>
    <row r="199" spans="1:7" ht="12.75">
      <c r="A199" s="3" t="s">
        <v>192</v>
      </c>
      <c r="B199" s="19">
        <v>84702</v>
      </c>
      <c r="C199" s="30">
        <v>240</v>
      </c>
      <c r="D199" s="8" t="s">
        <v>98</v>
      </c>
      <c r="E199" s="9"/>
      <c r="F199" s="20">
        <f>$C199/$B199</f>
        <v>0.00283346</v>
      </c>
      <c r="G199" s="9">
        <f>ROUND(+$E$198*F199,0)</f>
        <v>32480</v>
      </c>
    </row>
    <row r="200" spans="1:9" ht="12.75">
      <c r="A200" s="8"/>
      <c r="B200" s="8"/>
      <c r="C200" s="8"/>
      <c r="D200" s="8"/>
      <c r="E200" s="8"/>
      <c r="F200" s="8"/>
      <c r="G200" s="8"/>
      <c r="H200" s="8"/>
      <c r="I200" s="8"/>
    </row>
    <row r="201" spans="1:9" ht="12.75">
      <c r="A201" s="3" t="s">
        <v>44</v>
      </c>
      <c r="D201" s="3" t="s">
        <v>55</v>
      </c>
      <c r="E201" s="9">
        <f>States!C50</f>
        <v>10772451</v>
      </c>
      <c r="F201" s="24">
        <f>SUM(F202:F208)</f>
        <v>0.1778</v>
      </c>
      <c r="H201" s="9">
        <f>SUM(G202:G208)</f>
        <v>1915341</v>
      </c>
      <c r="I201" s="9">
        <f>E201-H201</f>
        <v>8857110</v>
      </c>
    </row>
    <row r="202" spans="1:9" ht="12.75">
      <c r="A202" s="3" t="s">
        <v>193</v>
      </c>
      <c r="D202" s="8" t="s">
        <v>96</v>
      </c>
      <c r="E202" s="9"/>
      <c r="F202" s="24">
        <v>0.0282</v>
      </c>
      <c r="G202" s="9">
        <f>ROUND(+$E$201*F202,0)</f>
        <v>303783</v>
      </c>
      <c r="I202" s="9"/>
    </row>
    <row r="203" spans="1:9" ht="12.75">
      <c r="A203" s="3" t="s">
        <v>194</v>
      </c>
      <c r="D203" s="8" t="s">
        <v>96</v>
      </c>
      <c r="E203" s="9"/>
      <c r="F203" s="24">
        <v>0.0038</v>
      </c>
      <c r="G203" s="9">
        <f aca="true" t="shared" si="9" ref="G203:G208">ROUND(+$E$201*F203,0)</f>
        <v>40935</v>
      </c>
      <c r="I203" s="9"/>
    </row>
    <row r="204" spans="1:9" ht="12.75">
      <c r="A204" s="3" t="s">
        <v>261</v>
      </c>
      <c r="D204" s="8" t="s">
        <v>96</v>
      </c>
      <c r="E204" s="9"/>
      <c r="F204" s="24">
        <v>0.0584</v>
      </c>
      <c r="G204" s="9">
        <f t="shared" si="9"/>
        <v>629111</v>
      </c>
      <c r="I204" s="9"/>
    </row>
    <row r="205" spans="1:9" ht="12.75">
      <c r="A205" s="3" t="s">
        <v>195</v>
      </c>
      <c r="D205" s="8" t="s">
        <v>96</v>
      </c>
      <c r="E205" s="9"/>
      <c r="F205" s="24">
        <v>0.046</v>
      </c>
      <c r="G205" s="9">
        <f t="shared" si="9"/>
        <v>495533</v>
      </c>
      <c r="I205" s="9"/>
    </row>
    <row r="206" spans="1:9" ht="12.75">
      <c r="A206" s="3" t="s">
        <v>196</v>
      </c>
      <c r="D206" s="8" t="s">
        <v>96</v>
      </c>
      <c r="E206" s="9"/>
      <c r="F206" s="24">
        <v>0.0186</v>
      </c>
      <c r="G206" s="9">
        <f t="shared" si="9"/>
        <v>200368</v>
      </c>
      <c r="I206" s="9"/>
    </row>
    <row r="207" spans="1:9" ht="12.75">
      <c r="A207" s="3" t="s">
        <v>197</v>
      </c>
      <c r="D207" s="8" t="s">
        <v>96</v>
      </c>
      <c r="E207" s="9"/>
      <c r="F207" s="24">
        <v>0.0116</v>
      </c>
      <c r="G207" s="9">
        <f t="shared" si="9"/>
        <v>124960</v>
      </c>
      <c r="I207" s="9"/>
    </row>
    <row r="208" spans="1:9" ht="12.75">
      <c r="A208" s="3" t="s">
        <v>198</v>
      </c>
      <c r="D208" s="8" t="s">
        <v>96</v>
      </c>
      <c r="E208" s="9"/>
      <c r="F208" s="24">
        <v>0.0112</v>
      </c>
      <c r="G208" s="9">
        <f t="shared" si="9"/>
        <v>120651</v>
      </c>
      <c r="I208" s="9"/>
    </row>
    <row r="209" spans="1:9" ht="12.75">
      <c r="A209" s="3"/>
      <c r="D209" s="8"/>
      <c r="E209" s="9"/>
      <c r="F209" s="24"/>
      <c r="G209" s="9"/>
      <c r="I209" s="9"/>
    </row>
    <row r="210" spans="1:9" ht="12.75">
      <c r="A210" s="3" t="s">
        <v>47</v>
      </c>
      <c r="D210" s="3" t="s">
        <v>55</v>
      </c>
      <c r="E210" s="9">
        <f>States!C53</f>
        <v>12401541</v>
      </c>
      <c r="F210" s="20"/>
      <c r="H210" s="9">
        <f>SUM(G211:G213)</f>
        <v>251507</v>
      </c>
      <c r="I210" s="9">
        <f>E210-H210</f>
        <v>12150034</v>
      </c>
    </row>
    <row r="211" spans="1:9" ht="12.75">
      <c r="A211" s="3" t="s">
        <v>159</v>
      </c>
      <c r="B211" s="19">
        <v>110884</v>
      </c>
      <c r="C211" s="19">
        <v>997</v>
      </c>
      <c r="D211" s="8" t="s">
        <v>94</v>
      </c>
      <c r="E211" s="9"/>
      <c r="F211" s="20">
        <f>C211/B211</f>
        <v>0.00899138</v>
      </c>
      <c r="G211" s="9">
        <f>ROUND(+$E$210*F211,0)</f>
        <v>111507</v>
      </c>
      <c r="I211" s="9"/>
    </row>
    <row r="212" spans="1:7" ht="12.75">
      <c r="A212" s="3" t="s">
        <v>199</v>
      </c>
      <c r="B212" s="19">
        <v>110884</v>
      </c>
      <c r="D212" s="8" t="s">
        <v>132</v>
      </c>
      <c r="E212" s="9"/>
      <c r="F212" s="29" t="s">
        <v>55</v>
      </c>
      <c r="G212" s="31">
        <v>60000</v>
      </c>
    </row>
    <row r="213" spans="1:9" ht="12.75">
      <c r="A213" s="3" t="s">
        <v>200</v>
      </c>
      <c r="B213" s="19">
        <v>110884</v>
      </c>
      <c r="D213" s="8" t="s">
        <v>132</v>
      </c>
      <c r="E213" s="9"/>
      <c r="F213" s="29" t="s">
        <v>55</v>
      </c>
      <c r="G213" s="31">
        <v>80000</v>
      </c>
      <c r="I213" s="9"/>
    </row>
    <row r="214" spans="5:9" ht="12.75">
      <c r="E214" s="9"/>
      <c r="G214" s="9"/>
      <c r="I214" s="9"/>
    </row>
    <row r="215" spans="1:9" ht="12.75">
      <c r="A215" s="3" t="s">
        <v>50</v>
      </c>
      <c r="E215" s="9">
        <f>States!C56</f>
        <v>34021674</v>
      </c>
      <c r="H215" s="9">
        <f>SUM(G216:G236)</f>
        <v>1388820</v>
      </c>
      <c r="I215" s="9">
        <f>E215-H215</f>
        <v>32632854</v>
      </c>
    </row>
    <row r="216" spans="1:7" ht="12.75">
      <c r="A216" s="3" t="s">
        <v>201</v>
      </c>
      <c r="B216" s="9"/>
      <c r="D216" s="8" t="s">
        <v>96</v>
      </c>
      <c r="E216" s="9"/>
      <c r="F216" s="20">
        <v>0.00847</v>
      </c>
      <c r="G216" s="9">
        <f>ROUND(+$E$215*F216,0)</f>
        <v>288164</v>
      </c>
    </row>
    <row r="217" spans="1:7" ht="12.75">
      <c r="A217" s="3" t="s">
        <v>278</v>
      </c>
      <c r="B217" s="9"/>
      <c r="D217" s="8" t="s">
        <v>132</v>
      </c>
      <c r="E217" s="9"/>
      <c r="F217" s="20"/>
      <c r="G217" s="9">
        <v>8460</v>
      </c>
    </row>
    <row r="218" spans="1:7" ht="12.75">
      <c r="A218" s="3" t="s">
        <v>202</v>
      </c>
      <c r="B218" s="9"/>
      <c r="D218" s="8" t="s">
        <v>96</v>
      </c>
      <c r="E218" s="9"/>
      <c r="F218" s="20">
        <v>0.000247</v>
      </c>
      <c r="G218" s="9">
        <f aca="true" t="shared" si="10" ref="G218:G236">ROUND(+$E$215*F218,0)</f>
        <v>8403</v>
      </c>
    </row>
    <row r="219" spans="1:7" ht="12.75">
      <c r="A219" s="3" t="s">
        <v>203</v>
      </c>
      <c r="B219" s="9"/>
      <c r="D219" s="8" t="s">
        <v>96</v>
      </c>
      <c r="E219" s="9"/>
      <c r="F219" s="20">
        <v>0.000247</v>
      </c>
      <c r="G219" s="9">
        <f t="shared" si="10"/>
        <v>8403</v>
      </c>
    </row>
    <row r="220" spans="1:7" ht="12.75">
      <c r="A220" s="3" t="s">
        <v>204</v>
      </c>
      <c r="B220" s="9"/>
      <c r="D220" s="8" t="s">
        <v>96</v>
      </c>
      <c r="E220" s="9"/>
      <c r="F220" s="20">
        <v>0.000604</v>
      </c>
      <c r="G220" s="9">
        <f t="shared" si="10"/>
        <v>20549</v>
      </c>
    </row>
    <row r="221" spans="1:7" ht="12.75">
      <c r="A221" s="3" t="s">
        <v>205</v>
      </c>
      <c r="B221" s="9"/>
      <c r="D221" s="8" t="s">
        <v>96</v>
      </c>
      <c r="E221" s="9"/>
      <c r="F221" s="20">
        <v>0.002499</v>
      </c>
      <c r="G221" s="9">
        <f t="shared" si="10"/>
        <v>85020</v>
      </c>
    </row>
    <row r="222" spans="1:7" ht="12.75">
      <c r="A222" s="3" t="s">
        <v>206</v>
      </c>
      <c r="B222" s="9"/>
      <c r="D222" s="8" t="s">
        <v>96</v>
      </c>
      <c r="E222" s="9"/>
      <c r="F222" s="20">
        <v>0.001949</v>
      </c>
      <c r="G222" s="9">
        <f t="shared" si="10"/>
        <v>66308</v>
      </c>
    </row>
    <row r="223" spans="1:7" ht="12.75">
      <c r="A223" s="3" t="s">
        <v>207</v>
      </c>
      <c r="B223" s="9"/>
      <c r="D223" s="8" t="s">
        <v>96</v>
      </c>
      <c r="E223" s="9"/>
      <c r="F223" s="20">
        <v>0.000892</v>
      </c>
      <c r="G223" s="9">
        <f t="shared" si="10"/>
        <v>30347</v>
      </c>
    </row>
    <row r="224" spans="1:7" ht="12.75">
      <c r="A224" s="3" t="s">
        <v>208</v>
      </c>
      <c r="B224" s="9"/>
      <c r="D224" s="8" t="s">
        <v>96</v>
      </c>
      <c r="E224" s="9"/>
      <c r="F224" s="20">
        <v>0.000686</v>
      </c>
      <c r="G224" s="9">
        <f t="shared" si="10"/>
        <v>23339</v>
      </c>
    </row>
    <row r="225" spans="1:7" ht="12.75">
      <c r="A225" s="3" t="s">
        <v>209</v>
      </c>
      <c r="B225" s="9"/>
      <c r="D225" s="8" t="s">
        <v>96</v>
      </c>
      <c r="E225" s="9"/>
      <c r="F225" s="20">
        <v>0.000412</v>
      </c>
      <c r="G225" s="9">
        <f t="shared" si="10"/>
        <v>14017</v>
      </c>
    </row>
    <row r="226" spans="1:7" ht="12.75">
      <c r="A226" s="3" t="s">
        <v>210</v>
      </c>
      <c r="B226" s="9"/>
      <c r="D226" s="8" t="s">
        <v>96</v>
      </c>
      <c r="E226" s="9"/>
      <c r="F226" s="20">
        <v>0.002787</v>
      </c>
      <c r="G226" s="9">
        <f t="shared" si="10"/>
        <v>94818</v>
      </c>
    </row>
    <row r="227" spans="1:7" ht="12.75">
      <c r="A227" s="3" t="s">
        <v>211</v>
      </c>
      <c r="B227" s="9"/>
      <c r="D227" s="8" t="s">
        <v>96</v>
      </c>
      <c r="E227" s="9"/>
      <c r="F227" s="20">
        <v>0.000796</v>
      </c>
      <c r="G227" s="9">
        <f t="shared" si="10"/>
        <v>27081</v>
      </c>
    </row>
    <row r="228" spans="1:7" ht="12.75">
      <c r="A228" s="3" t="s">
        <v>212</v>
      </c>
      <c r="B228" s="9"/>
      <c r="D228" s="8" t="s">
        <v>96</v>
      </c>
      <c r="E228" s="9"/>
      <c r="F228" s="20">
        <v>0.002169</v>
      </c>
      <c r="G228" s="9">
        <f t="shared" si="10"/>
        <v>73793</v>
      </c>
    </row>
    <row r="229" spans="1:7" ht="12.75">
      <c r="A229" s="3" t="s">
        <v>244</v>
      </c>
      <c r="B229" s="9"/>
      <c r="D229" s="8" t="s">
        <v>96</v>
      </c>
      <c r="E229" s="9"/>
      <c r="F229" s="20">
        <v>0.000823</v>
      </c>
      <c r="G229" s="9">
        <f t="shared" si="10"/>
        <v>28000</v>
      </c>
    </row>
    <row r="230" spans="1:7" ht="12.75">
      <c r="A230" s="3" t="s">
        <v>213</v>
      </c>
      <c r="B230" s="9"/>
      <c r="D230" s="8" t="s">
        <v>96</v>
      </c>
      <c r="E230" s="9"/>
      <c r="F230" s="20">
        <v>0.001317</v>
      </c>
      <c r="G230" s="9">
        <f t="shared" si="10"/>
        <v>44807</v>
      </c>
    </row>
    <row r="231" spans="1:7" ht="12.75">
      <c r="A231" s="3" t="s">
        <v>214</v>
      </c>
      <c r="B231" s="9"/>
      <c r="D231" s="8" t="s">
        <v>96</v>
      </c>
      <c r="E231" s="9"/>
      <c r="F231" s="20">
        <v>0.002782</v>
      </c>
      <c r="G231" s="9">
        <f t="shared" si="10"/>
        <v>94648</v>
      </c>
    </row>
    <row r="232" spans="1:7" ht="12.75">
      <c r="A232" s="3" t="s">
        <v>215</v>
      </c>
      <c r="B232" s="9"/>
      <c r="D232" s="8" t="s">
        <v>96</v>
      </c>
      <c r="E232" s="9"/>
      <c r="F232" s="20">
        <v>0.001744</v>
      </c>
      <c r="G232" s="9">
        <f t="shared" si="10"/>
        <v>59334</v>
      </c>
    </row>
    <row r="233" spans="1:7" ht="12.75">
      <c r="A233" s="3" t="s">
        <v>216</v>
      </c>
      <c r="B233" s="9"/>
      <c r="D233" s="8" t="s">
        <v>96</v>
      </c>
      <c r="E233" s="9"/>
      <c r="F233" s="20">
        <v>0.000247</v>
      </c>
      <c r="G233" s="9">
        <f t="shared" si="10"/>
        <v>8403</v>
      </c>
    </row>
    <row r="234" spans="1:7" ht="12.75">
      <c r="A234" s="3" t="s">
        <v>217</v>
      </c>
      <c r="B234" s="9"/>
      <c r="D234" s="8" t="s">
        <v>96</v>
      </c>
      <c r="E234" s="9"/>
      <c r="F234" s="20">
        <v>0.001057</v>
      </c>
      <c r="G234" s="9">
        <f t="shared" si="10"/>
        <v>35961</v>
      </c>
    </row>
    <row r="235" spans="1:7" ht="12.75">
      <c r="A235" s="3" t="s">
        <v>218</v>
      </c>
      <c r="B235" s="9"/>
      <c r="D235" s="8" t="s">
        <v>96</v>
      </c>
      <c r="E235" s="9"/>
      <c r="F235" s="20">
        <v>0.001867</v>
      </c>
      <c r="G235" s="9">
        <f t="shared" si="10"/>
        <v>63518</v>
      </c>
    </row>
    <row r="236" spans="1:7" ht="12.75">
      <c r="A236" s="3" t="s">
        <v>219</v>
      </c>
      <c r="B236" s="9"/>
      <c r="D236" s="8" t="s">
        <v>96</v>
      </c>
      <c r="E236" s="9"/>
      <c r="F236" s="20">
        <v>0.008978</v>
      </c>
      <c r="G236" s="9">
        <f t="shared" si="10"/>
        <v>305447</v>
      </c>
    </row>
    <row r="237" spans="1:7" ht="12.75">
      <c r="A237" s="3"/>
      <c r="B237" s="9"/>
      <c r="D237" s="8"/>
      <c r="E237" s="9"/>
      <c r="F237" s="20"/>
      <c r="G237" s="9"/>
    </row>
    <row r="238" spans="1:9" ht="12.75">
      <c r="A238" s="3" t="s">
        <v>53</v>
      </c>
      <c r="B238" s="9"/>
      <c r="D238" s="8"/>
      <c r="E238" s="9">
        <f>States!C59</f>
        <v>4965304</v>
      </c>
      <c r="F238" s="20"/>
      <c r="G238" s="9"/>
      <c r="H238" s="12">
        <f>G239</f>
        <v>210000</v>
      </c>
      <c r="I238" s="9">
        <f>E238-H238</f>
        <v>4755304</v>
      </c>
    </row>
    <row r="239" spans="1:7" ht="12.75">
      <c r="A239" s="3" t="s">
        <v>231</v>
      </c>
      <c r="B239" s="9"/>
      <c r="D239" s="8" t="s">
        <v>132</v>
      </c>
      <c r="E239" s="9"/>
      <c r="F239" s="20">
        <v>0.0146</v>
      </c>
      <c r="G239" s="9">
        <f>210000</f>
        <v>210000</v>
      </c>
    </row>
    <row r="240" spans="1:7" ht="12.75">
      <c r="A240" s="3"/>
      <c r="B240" s="9"/>
      <c r="D240" s="8"/>
      <c r="E240" s="9"/>
      <c r="F240" s="20"/>
      <c r="G240" s="9"/>
    </row>
    <row r="241" spans="1:9" ht="12.75">
      <c r="A241" s="3" t="s">
        <v>220</v>
      </c>
      <c r="E241" s="9">
        <f>SUM(E12:E240)</f>
        <v>884252074</v>
      </c>
      <c r="H241" s="9">
        <f>SUM(H12:H240)</f>
        <v>15568556</v>
      </c>
      <c r="I241" s="9">
        <f>SUM(I12:I240)</f>
        <v>868683518</v>
      </c>
    </row>
    <row r="493" ht="12.75">
      <c r="H493" s="5"/>
    </row>
    <row r="495" ht="12.75">
      <c r="E495" s="5"/>
    </row>
    <row r="498" ht="12.75">
      <c r="E498" s="5"/>
    </row>
    <row r="499" ht="12.75">
      <c r="E499" s="5"/>
    </row>
    <row r="500" ht="12.75">
      <c r="E500" s="5"/>
    </row>
    <row r="501" ht="12.75">
      <c r="E501" s="5"/>
    </row>
    <row r="502" ht="12.75">
      <c r="E502" s="5"/>
    </row>
    <row r="503" ht="12.75">
      <c r="E503" s="5"/>
    </row>
    <row r="504" ht="12.75">
      <c r="E504" s="5"/>
    </row>
    <row r="505" ht="12.75">
      <c r="E505" s="5"/>
    </row>
    <row r="506" ht="12.75">
      <c r="E506" s="5"/>
    </row>
    <row r="507" ht="12.75">
      <c r="E507" s="5"/>
    </row>
    <row r="508" ht="12.75">
      <c r="E508" s="5"/>
    </row>
    <row r="509" ht="12.75">
      <c r="E509" s="5"/>
    </row>
    <row r="510" ht="12.75">
      <c r="E510" s="5"/>
    </row>
    <row r="511" ht="12.75">
      <c r="E511" s="5"/>
    </row>
    <row r="512" ht="12.75">
      <c r="E512" s="5"/>
    </row>
    <row r="513" ht="12.75">
      <c r="E513" s="5"/>
    </row>
    <row r="514" ht="12.75">
      <c r="E514" s="5"/>
    </row>
    <row r="515" ht="12.75">
      <c r="E515" s="5"/>
    </row>
    <row r="516" ht="12.75">
      <c r="E516" s="5"/>
    </row>
    <row r="517" ht="12.75">
      <c r="E517" s="5"/>
    </row>
    <row r="518" ht="12.75">
      <c r="E518" s="5"/>
    </row>
    <row r="519" ht="12.75">
      <c r="E519" s="5"/>
    </row>
    <row r="520" ht="12.75">
      <c r="E520" s="5"/>
    </row>
    <row r="521" ht="12.75">
      <c r="E521" s="5"/>
    </row>
    <row r="522" ht="12.75">
      <c r="E522" s="5"/>
    </row>
    <row r="523" ht="12.75">
      <c r="E523" s="5"/>
    </row>
    <row r="524" ht="12.75">
      <c r="E524" s="5"/>
    </row>
    <row r="525" ht="12.75">
      <c r="E525" s="5"/>
    </row>
    <row r="526" ht="12.75">
      <c r="E526" s="5"/>
    </row>
    <row r="527" ht="12.75">
      <c r="E527" s="5"/>
    </row>
    <row r="528" ht="12.75">
      <c r="E528" s="5"/>
    </row>
    <row r="529" ht="12.75">
      <c r="E529" s="5"/>
    </row>
    <row r="530" ht="12.75">
      <c r="E530" s="5"/>
    </row>
    <row r="531" ht="12.75">
      <c r="E531" s="5"/>
    </row>
    <row r="532" ht="12.75">
      <c r="E532" s="5"/>
    </row>
    <row r="533" ht="12.75">
      <c r="E533" s="5"/>
    </row>
    <row r="534" ht="12.75">
      <c r="E534" s="5"/>
    </row>
    <row r="535" ht="12.75">
      <c r="E535" s="5"/>
    </row>
    <row r="536" ht="12.75">
      <c r="E536" s="5"/>
    </row>
    <row r="537" ht="12.75">
      <c r="E537" s="5"/>
    </row>
    <row r="538" ht="12.75">
      <c r="E538" s="5"/>
    </row>
    <row r="539" ht="12.75">
      <c r="E539" s="5"/>
    </row>
    <row r="540" ht="12.75">
      <c r="E540" s="5"/>
    </row>
    <row r="541" ht="12.75">
      <c r="E541" s="5"/>
    </row>
    <row r="542" ht="12.75">
      <c r="E542" s="5"/>
    </row>
    <row r="543" ht="12.75">
      <c r="E543" s="5"/>
    </row>
    <row r="544" ht="12.75">
      <c r="E544" s="5"/>
    </row>
    <row r="545" ht="12.75">
      <c r="E545" s="5"/>
    </row>
    <row r="546" ht="12.75">
      <c r="E546" s="5"/>
    </row>
    <row r="547" ht="12.75">
      <c r="E547" s="5"/>
    </row>
    <row r="548" ht="12.75">
      <c r="E548" s="5"/>
    </row>
    <row r="549" ht="12.75">
      <c r="E549" s="5"/>
    </row>
    <row r="550" spans="5:8" ht="12.75">
      <c r="E550" s="5"/>
      <c r="G550" s="9"/>
      <c r="H550" s="9"/>
    </row>
    <row r="552" spans="5:8" ht="12.75">
      <c r="E552" s="9"/>
      <c r="H552" s="9"/>
    </row>
    <row r="554" ht="12.75">
      <c r="H554" s="9"/>
    </row>
    <row r="555" spans="5:8" ht="12.75">
      <c r="E555" s="9"/>
      <c r="H555" s="9"/>
    </row>
    <row r="556" spans="5:8" ht="12.75">
      <c r="E556" s="9"/>
      <c r="H556" s="9"/>
    </row>
    <row r="557" spans="5:8" ht="12.75">
      <c r="E557" s="9"/>
      <c r="H557" s="9"/>
    </row>
    <row r="558" spans="5:8" ht="12.75">
      <c r="E558" s="9"/>
      <c r="H558" s="9"/>
    </row>
    <row r="559" spans="5:8" ht="12.75">
      <c r="E559" s="9"/>
      <c r="H559" s="9"/>
    </row>
    <row r="560" spans="5:8" ht="12.75">
      <c r="E560" s="9"/>
      <c r="H560" s="9"/>
    </row>
    <row r="561" spans="5:8" ht="12.75">
      <c r="E561" s="9"/>
      <c r="H561" s="9"/>
    </row>
  </sheetData>
  <sheetProtection password="EECF" sheet="1" objects="1" scenarios="1"/>
  <printOptions/>
  <pageMargins left="0.75" right="0.75" top="0.75" bottom="0.5" header="0.5" footer="0.5"/>
  <pageSetup horizontalDpi="300" verticalDpi="300" orientation="landscape" scale="70" r:id="rId1"/>
  <rowBreaks count="4" manualBreakCount="4">
    <brk id="40" max="8" man="1"/>
    <brk id="87" max="8" man="1"/>
    <brk id="135" max="8" man="1"/>
    <brk id="19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 DHHS</dc:creator>
  <cp:keywords/>
  <dc:description/>
  <cp:lastModifiedBy>Mark Wolfe</cp:lastModifiedBy>
  <cp:lastPrinted>2003-12-17T18:09:37Z</cp:lastPrinted>
  <dcterms:created xsi:type="dcterms:W3CDTF">1999-09-24T20:32:34Z</dcterms:created>
  <dcterms:modified xsi:type="dcterms:W3CDTF">2003-12-17T18:19:06Z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144007972</vt:i4>
  </property>
  <property fmtid="{D5CDD505-2E9C-101B-9397-08002B2CF9AE}" pid="3" name="_EmailSubject">
    <vt:lpwstr>Release of Additional LIHEAP Funds</vt:lpwstr>
  </property>
  <property fmtid="{D5CDD505-2E9C-101B-9397-08002B2CF9AE}" pid="4" name="_AuthorEmail">
    <vt:lpwstr>NStAngelo@acf.hhs.gov</vt:lpwstr>
  </property>
  <property fmtid="{D5CDD505-2E9C-101B-9397-08002B2CF9AE}" pid="5" name="_AuthorEmailDisplayName">
    <vt:lpwstr>St.Angelo, Nick (ACF)</vt:lpwstr>
  </property>
  <property fmtid="{D5CDD505-2E9C-101B-9397-08002B2CF9AE}" pid="6" name="_PreviousAdHocReviewCycleID">
    <vt:i4>-1741655155</vt:i4>
  </property>
</Properties>
</file>